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NSprester\Desktop\"/>
    </mc:Choice>
  </mc:AlternateContent>
  <xr:revisionPtr revIDLastSave="0" documentId="13_ncr:1_{B44BAEB0-7DA4-4FA0-A7FF-7157FBB98AAE}" xr6:coauthVersionLast="47" xr6:coauthVersionMax="47" xr10:uidLastSave="{00000000-0000-0000-0000-000000000000}"/>
  <workbookProtection lockStructure="1"/>
  <bookViews>
    <workbookView xWindow="4995" yWindow="225" windowWidth="23745" windowHeight="14370" activeTab="5" xr2:uid="{00000000-000D-0000-FFFF-FFFF00000000}"/>
  </bookViews>
  <sheets>
    <sheet name="Start Here" sheetId="9" r:id="rId1"/>
    <sheet name="Temp Map" sheetId="6" r:id="rId2"/>
    <sheet name="Heat Zone Map" sheetId="8" r:id="rId3"/>
    <sheet name="Quonset House" sheetId="2" r:id="rId4"/>
    <sheet name="Gable House" sheetId="3" r:id="rId5"/>
    <sheet name="Arch house" sheetId="5" r:id="rId6"/>
    <sheet name="Form Data" sheetId="1" state="hidden" r:id="rId7"/>
  </sheets>
  <definedNames>
    <definedName name="_xlnm.Print_Area" localSheetId="5">'Arch house'!$A$1:$N$36</definedName>
    <definedName name="_xlnm.Print_Area" localSheetId="6">'Form Data'!$A$1:$G$40</definedName>
    <definedName name="_xlnm.Print_Area" localSheetId="4">'Gable House'!$A$1:$N$36</definedName>
    <definedName name="_xlnm.Print_Area" localSheetId="2">'Heat Zone Map'!$A$1:$G$40</definedName>
    <definedName name="_xlnm.Print_Area" localSheetId="3">'Quonset House'!$A$1:$N$36</definedName>
    <definedName name="_xlnm.Print_Area" localSheetId="0">'Start Here'!$A$1:$C$30</definedName>
    <definedName name="_xlnm.Print_Area" localSheetId="1">'Temp Map'!$A$1:$G$40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F23" i="2"/>
  <c r="F24" i="3"/>
  <c r="F25" i="3"/>
  <c r="F26" i="3"/>
  <c r="F23" i="3"/>
  <c r="F24" i="5"/>
  <c r="F25" i="5"/>
  <c r="F26" i="5"/>
  <c r="F23" i="5"/>
  <c r="F29" i="2" l="1"/>
  <c r="F32" i="5" l="1"/>
  <c r="F31" i="5"/>
  <c r="F30" i="5"/>
  <c r="F29" i="5"/>
  <c r="F20" i="5"/>
  <c r="F19" i="5"/>
  <c r="F18" i="5"/>
  <c r="F32" i="3"/>
  <c r="F31" i="3"/>
  <c r="F30" i="3"/>
  <c r="F29" i="3"/>
  <c r="F20" i="3"/>
  <c r="F19" i="3"/>
  <c r="F18" i="3"/>
  <c r="F32" i="2"/>
  <c r="F31" i="2"/>
  <c r="F30" i="2"/>
  <c r="F20" i="2"/>
  <c r="F19" i="2"/>
  <c r="F18" i="2"/>
  <c r="J25" i="2"/>
  <c r="J23" i="5"/>
  <c r="J24" i="5"/>
  <c r="J25" i="5"/>
  <c r="J26" i="5"/>
  <c r="J23" i="3"/>
  <c r="J24" i="3"/>
  <c r="J25" i="3"/>
  <c r="J26" i="3"/>
  <c r="J23" i="2"/>
  <c r="J24" i="2"/>
  <c r="J26" i="2"/>
  <c r="J27" i="3" l="1"/>
  <c r="J34" i="3" s="1"/>
  <c r="J32" i="5"/>
  <c r="J31" i="3"/>
  <c r="J32" i="3"/>
  <c r="J30" i="3"/>
  <c r="J27" i="5"/>
  <c r="J34" i="5" s="1"/>
  <c r="J31" i="5"/>
  <c r="J30" i="5"/>
  <c r="J32" i="2"/>
  <c r="J33" i="5"/>
  <c r="J30" i="2"/>
  <c r="J33" i="2"/>
  <c r="J27" i="2"/>
  <c r="J34" i="2" s="1"/>
  <c r="J31" i="2"/>
  <c r="J33" i="3"/>
  <c r="J35" i="3" l="1"/>
  <c r="J35" i="5"/>
  <c r="J35" i="2"/>
  <c r="N31" i="3" l="1"/>
  <c r="O31" i="3" s="1"/>
  <c r="N32" i="3"/>
  <c r="O32" i="3" s="1"/>
  <c r="N31" i="2"/>
  <c r="O31" i="2" s="1"/>
  <c r="N33" i="2"/>
  <c r="O33" i="2" s="1"/>
  <c r="N33" i="3"/>
  <c r="O33" i="3" s="1"/>
  <c r="N31" i="5"/>
  <c r="O31" i="5" s="1"/>
  <c r="N33" i="5"/>
  <c r="O33" i="5" s="1"/>
  <c r="N32" i="5"/>
  <c r="O32" i="5" s="1"/>
  <c r="N32" i="2"/>
  <c r="O32" i="2" s="1"/>
</calcChain>
</file>

<file path=xl/sharedStrings.xml><?xml version="1.0" encoding="utf-8"?>
<sst xmlns="http://schemas.openxmlformats.org/spreadsheetml/2006/main" count="244" uniqueCount="125">
  <si>
    <t>Area AB</t>
  </si>
  <si>
    <t>Area C</t>
  </si>
  <si>
    <t>Area D</t>
  </si>
  <si>
    <t>Volume</t>
  </si>
  <si>
    <t>House Data:</t>
  </si>
  <si>
    <t>Area E</t>
  </si>
  <si>
    <t>Combustion / Infiltration Factor</t>
  </si>
  <si>
    <t>Glass, single layer</t>
  </si>
  <si>
    <t>Glass, double layer, 1/4 in. space</t>
  </si>
  <si>
    <t>Single film plastic</t>
  </si>
  <si>
    <t>Double film plastic, inflated</t>
  </si>
  <si>
    <t>Single film plastic over glass</t>
  </si>
  <si>
    <t>Double plastic over glass</t>
  </si>
  <si>
    <t>Corrugated FRP Panels</t>
  </si>
  <si>
    <t>Fiberglass</t>
  </si>
  <si>
    <t>Concrete block, 8 in.</t>
  </si>
  <si>
    <t>Concrete, poured, 4 in.</t>
  </si>
  <si>
    <t>Concrete, poured, 6 in.</t>
  </si>
  <si>
    <t>Concrete, poured 8 in.</t>
  </si>
  <si>
    <t>Concrete block, 4 in.</t>
  </si>
  <si>
    <t xml:space="preserve"> </t>
  </si>
  <si>
    <t>Concrete block, 8 in. + 1 in. polystyrene</t>
  </si>
  <si>
    <t>Concrete block, 8 in. + 1 in. urethane foam</t>
  </si>
  <si>
    <t>Cement asbestos board, plus 1 in. urethane</t>
  </si>
  <si>
    <t>Cement asbestos board</t>
  </si>
  <si>
    <t>(1) Texas Greenhouse Management Handbook</t>
  </si>
  <si>
    <t>(2) NGMA Standards for Heat Loss In Greenhouse Structures</t>
  </si>
  <si>
    <t>Btu/sq ft - Deg F- hr</t>
  </si>
  <si>
    <t>MPH</t>
  </si>
  <si>
    <t>W</t>
  </si>
  <si>
    <t>Air Exchange:</t>
  </si>
  <si>
    <t>New Construction:</t>
  </si>
  <si>
    <t xml:space="preserve">LBW targets a total air exchange of 1.25, infiltration plus </t>
  </si>
  <si>
    <t>Old Construction:</t>
  </si>
  <si>
    <t>LBW targets for a total air exchange of 2.0, infiltration plus</t>
  </si>
  <si>
    <t>combustion for old construction</t>
  </si>
  <si>
    <t>combustion for new construction.</t>
  </si>
  <si>
    <t>In cases of extremely high wind multiply air exchange factor by</t>
  </si>
  <si>
    <t>wind velocity factor W.</t>
  </si>
  <si>
    <t>Wind Velocity Factor (2)</t>
  </si>
  <si>
    <t>Metal Frame and glazing system, 16-24 in. spacing</t>
  </si>
  <si>
    <t>Metal Frame and glazing system, 48 in. spacing</t>
  </si>
  <si>
    <t>Fiberglass on metal frame</t>
  </si>
  <si>
    <t>Film plastic on metal frame</t>
  </si>
  <si>
    <t xml:space="preserve">Film plastic or fiberglass on wood </t>
  </si>
  <si>
    <t>gg</t>
  </si>
  <si>
    <t>Width, W</t>
  </si>
  <si>
    <t>Sidewall Height, H</t>
  </si>
  <si>
    <t>Area A</t>
  </si>
  <si>
    <t>Area B</t>
  </si>
  <si>
    <t>Design Data:</t>
  </si>
  <si>
    <t>AREA CALCULATIONS</t>
  </si>
  <si>
    <t>Area  A</t>
  </si>
  <si>
    <t xml:space="preserve">Volume </t>
  </si>
  <si>
    <t>Gable Height, G</t>
  </si>
  <si>
    <t>HEAT LOSS CALCULATIONS</t>
  </si>
  <si>
    <t xml:space="preserve">Total </t>
  </si>
  <si>
    <t>Length, L</t>
  </si>
  <si>
    <t>Arch Height, G</t>
  </si>
  <si>
    <t>Number of Bays</t>
  </si>
  <si>
    <t>Cement asbestos board, plus 1 in. polystyrene</t>
  </si>
  <si>
    <t>Temperature Map for United States</t>
  </si>
  <si>
    <t>Total Air</t>
  </si>
  <si>
    <t xml:space="preserve">Temp </t>
  </si>
  <si>
    <t>Old Construction</t>
  </si>
  <si>
    <t>New Construction</t>
  </si>
  <si>
    <t>Wind Factor (MPH)</t>
  </si>
  <si>
    <t>Temperature Differential (Deg.)</t>
  </si>
  <si>
    <t>Coverings</t>
  </si>
  <si>
    <t>Material</t>
  </si>
  <si>
    <t>Walls</t>
  </si>
  <si>
    <t>Heat Zone Map for United States</t>
  </si>
  <si>
    <t>House Materials</t>
  </si>
  <si>
    <t>Basic Construction Style</t>
  </si>
  <si>
    <t>Center Height, G</t>
  </si>
  <si>
    <t xml:space="preserve">Heat Transfer Coefficients (1,2)       </t>
  </si>
  <si>
    <t>Construction Style, Coverings (2)</t>
  </si>
  <si>
    <t>Within the selected tab…</t>
  </si>
  <si>
    <r>
      <t xml:space="preserve">5. </t>
    </r>
    <r>
      <rPr>
        <sz val="10"/>
        <rFont val="Arial"/>
        <family val="2"/>
      </rPr>
      <t xml:space="preserve">Select from the drop down either new or old construction for the </t>
    </r>
    <r>
      <rPr>
        <b/>
        <i/>
        <sz val="11"/>
        <rFont val="Arial"/>
        <family val="2"/>
      </rPr>
      <t>Combustion/Infiltration</t>
    </r>
    <r>
      <rPr>
        <sz val="10"/>
        <rFont val="Arial"/>
        <family val="2"/>
      </rPr>
      <t xml:space="preserve"> field</t>
    </r>
    <r>
      <rPr>
        <b/>
        <i/>
        <sz val="11"/>
        <rFont val="Arial"/>
        <family val="2"/>
      </rPr>
      <t>.</t>
    </r>
  </si>
  <si>
    <r>
      <t>3.</t>
    </r>
    <r>
      <rPr>
        <sz val="10"/>
        <rFont val="Arial"/>
        <family val="2"/>
      </rPr>
      <t xml:space="preserve"> Under '</t>
    </r>
    <r>
      <rPr>
        <b/>
        <i/>
        <sz val="11"/>
        <rFont val="Arial"/>
        <family val="2"/>
      </rPr>
      <t>Design Data'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determine and select from the drop down list the average</t>
    </r>
    <r>
      <rPr>
        <b/>
        <i/>
        <sz val="11"/>
        <rFont val="Arial"/>
        <family val="2"/>
      </rPr>
      <t xml:space="preserve"> Wind Velocity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(based on specific area of country).</t>
    </r>
  </si>
  <si>
    <r>
      <t>7.</t>
    </r>
    <r>
      <rPr>
        <sz val="10"/>
        <rFont val="Arial"/>
        <family val="2"/>
      </rPr>
      <t xml:space="preserve"> Choose appropriate construction type from the drop downs for each section of greenhouse under </t>
    </r>
    <r>
      <rPr>
        <b/>
        <i/>
        <sz val="11"/>
        <rFont val="Arial"/>
        <family val="2"/>
      </rPr>
      <t>Basic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Construction Style,</t>
    </r>
    <r>
      <rPr>
        <sz val="10"/>
        <rFont val="Arial"/>
        <family val="2"/>
      </rPr>
      <t xml:space="preserve"> based on materials used</t>
    </r>
    <r>
      <rPr>
        <sz val="11"/>
        <rFont val="Arial"/>
        <family val="2"/>
      </rPr>
      <t>.</t>
    </r>
  </si>
  <si>
    <r>
      <t xml:space="preserve">                         </t>
    </r>
    <r>
      <rPr>
        <b/>
        <i/>
        <sz val="15"/>
        <color rgb="FFFF0000"/>
        <rFont val="Arial"/>
        <family val="2"/>
      </rPr>
      <t xml:space="preserve"> Welcome to the Heat Calculation Program!   </t>
    </r>
  </si>
  <si>
    <r>
      <t xml:space="preserve">2. </t>
    </r>
    <r>
      <rPr>
        <sz val="10"/>
        <rFont val="Arial"/>
        <family val="2"/>
      </rPr>
      <t>Fill in specific dimensions under</t>
    </r>
    <r>
      <rPr>
        <b/>
        <sz val="10"/>
        <rFont val="Arial"/>
        <family val="2"/>
      </rPr>
      <t xml:space="preserve"> '</t>
    </r>
    <r>
      <rPr>
        <b/>
        <i/>
        <sz val="11"/>
        <rFont val="Arial"/>
        <family val="2"/>
      </rPr>
      <t>House Data'</t>
    </r>
    <r>
      <rPr>
        <sz val="11"/>
        <rFont val="Arial"/>
        <family val="2"/>
      </rPr>
      <t xml:space="preserve"> (width, height, etc.).</t>
    </r>
  </si>
  <si>
    <r>
      <t>4. Determine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select from the drop down the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Temperature Differential,</t>
    </r>
    <r>
      <rPr>
        <sz val="10"/>
        <rFont val="Arial"/>
        <family val="2"/>
      </rPr>
      <t xml:space="preserve"> based on average outside low temperatures and desired interior greenhouse temperature.  For example, if the average outside temperature is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and the interior greenhouse temperature is set at 65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F, the temperature differential will be 50. The Temp Map and Heat Zone Map tabs show average temps for a normal winter</t>
    </r>
  </si>
  <si>
    <r>
      <t xml:space="preserve">6. Choose appropriate building materials from the drop downs for each section of greenhouse under </t>
    </r>
    <r>
      <rPr>
        <b/>
        <i/>
        <sz val="11"/>
        <rFont val="Arial"/>
        <family val="2"/>
      </rPr>
      <t>House Materials</t>
    </r>
    <r>
      <rPr>
        <sz val="10"/>
        <rFont val="Arial"/>
        <family val="2"/>
      </rPr>
      <t xml:space="preserve"> based on materials used in roof and walls of structure.</t>
    </r>
  </si>
  <si>
    <r>
      <t>1.</t>
    </r>
    <r>
      <rPr>
        <sz val="10"/>
        <rFont val="Arial"/>
        <family val="2"/>
      </rPr>
      <t xml:space="preserve"> Determine style of house</t>
    </r>
    <r>
      <rPr>
        <sz val="11"/>
        <rFont val="Arial"/>
        <family val="2"/>
      </rPr>
      <t xml:space="preserve"> (</t>
    </r>
    <r>
      <rPr>
        <b/>
        <sz val="11"/>
        <rFont val="Arial"/>
        <family val="2"/>
      </rPr>
      <t>Quonset, Gable, or Arch</t>
    </r>
    <r>
      <rPr>
        <sz val="11"/>
        <rFont val="Arial"/>
        <family val="2"/>
      </rPr>
      <t>), and click on appropriate tab based on type of house.</t>
    </r>
  </si>
  <si>
    <t>The Form Data tab has all the raw data used within the sheets. Refer to this tab to review if needed.</t>
  </si>
  <si>
    <t>This program is intended to assist you in determining the Btu requirements (and thus number of our heaters)                                                  needed for a specific greenhouse operation. To begin…</t>
  </si>
  <si>
    <t>Qty. Therma Grow 120 req.</t>
  </si>
  <si>
    <t>Qty. Therma Grow 220 req.</t>
  </si>
  <si>
    <t>4mm twin-wall polycarbonate</t>
  </si>
  <si>
    <t>6mm twin-wall polycarbonate</t>
  </si>
  <si>
    <t>8mm twin-wall polycarbonate</t>
  </si>
  <si>
    <t>10mm twin-wall polycarbonate</t>
  </si>
  <si>
    <t>Double pane storm windows</t>
  </si>
  <si>
    <t>Single pane glass, 3mm</t>
  </si>
  <si>
    <t>4 mil polyethylene</t>
  </si>
  <si>
    <t>6 mil polyethylene</t>
  </si>
  <si>
    <t>6 mil poly double layer, inflated</t>
  </si>
  <si>
    <t>Qty. Bloom 400 req.</t>
  </si>
  <si>
    <t>Customer:</t>
  </si>
  <si>
    <t>Name</t>
  </si>
  <si>
    <t xml:space="preserve">Customer: </t>
  </si>
  <si>
    <t>https://ngma.com/wp-content/uploads/2018/05/Heatloss2010.pdf</t>
  </si>
  <si>
    <t>https://ngma.com/wp-content/uploads/2018/05/HeatSystem2010.pdf</t>
  </si>
  <si>
    <t>5mm Solexx panels</t>
  </si>
  <si>
    <t>3.5mm Solexx panels</t>
  </si>
  <si>
    <t>If you need help, have questions, or find data is missing from this program, please contact our Technical Support Department at 608-779-6101.</t>
  </si>
  <si>
    <r>
      <t xml:space="preserve">8. The spreadsheet will automatically calculate area, heat loss and the recommended quantity of </t>
    </r>
    <r>
      <rPr>
        <b/>
        <i/>
        <sz val="11"/>
        <rFont val="Arial"/>
        <family val="2"/>
      </rPr>
      <t>Therma Grow® 120, 220, or Bloom® 400</t>
    </r>
    <r>
      <rPr>
        <sz val="11"/>
        <rFont val="Arial"/>
        <family val="2"/>
      </rPr>
      <t xml:space="preserve"> unit heaters required.</t>
    </r>
  </si>
  <si>
    <t>Qty. Req</t>
  </si>
  <si>
    <t xml:space="preserve">Therma Grow 220 </t>
  </si>
  <si>
    <t>Therma Grow 120</t>
  </si>
  <si>
    <t>Bloom 400</t>
  </si>
  <si>
    <t>Quonset Type House - Heating Needs &amp; CO2 generation</t>
  </si>
  <si>
    <t>QTY. Req</t>
  </si>
  <si>
    <t>Qty. Req.</t>
  </si>
  <si>
    <t>Fuel Source</t>
  </si>
  <si>
    <t>Gable Type Houses - Heating Needs &amp; CO2 Generation</t>
  </si>
  <si>
    <t>Arch Type Houses - Heating Needs &amp; CO2 Generation</t>
  </si>
  <si>
    <t>Natural Gas</t>
  </si>
  <si>
    <t>Mins of runtime to add 1000 PPM Co2 (per ACH)*</t>
  </si>
  <si>
    <t>* ACH = Air changes Per Hour</t>
  </si>
  <si>
    <t>Mins of runtime to add 1000 PPM Co2              (per ACH)*</t>
  </si>
  <si>
    <t>* ACH = Air changes per hour</t>
  </si>
  <si>
    <t>Mins of runtime per heater to add 1000 PPM Co2               (per ACH)*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</si>
</sst>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8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i/>
      <u/>
      <sz val="10"/>
      <name val="Arial"/>
      <family val="2"/>
    </font>
    <font>
      <b/>
      <sz val="10"/>
      <color rgb="FFFF9900"/>
      <name val="Arial"/>
      <family val="2"/>
    </font>
    <font>
      <b/>
      <sz val="9"/>
      <color rgb="FFFF9900"/>
      <name val="Arial"/>
      <family val="2"/>
    </font>
    <font>
      <sz val="10"/>
      <color rgb="FFFF9900"/>
      <name val="Arial"/>
      <family val="2"/>
    </font>
    <font>
      <b/>
      <sz val="8"/>
      <color rgb="FFFF990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6"/>
      <color rgb="FFFF0000"/>
      <name val="Arial"/>
      <family val="2"/>
    </font>
    <font>
      <b/>
      <i/>
      <sz val="15"/>
      <color rgb="FFFF0000"/>
      <name val="Arial"/>
      <family val="2"/>
    </font>
    <font>
      <i/>
      <sz val="8"/>
      <color theme="6" tint="-0.49998474074526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7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/>
    <xf numFmtId="0" fontId="8" fillId="2" borderId="0" xfId="0" applyFont="1" applyFill="1"/>
    <xf numFmtId="1" fontId="0" fillId="2" borderId="0" xfId="0" applyNumberFormat="1" applyFill="1"/>
    <xf numFmtId="2" fontId="0" fillId="2" borderId="0" xfId="0" applyNumberFormat="1" applyFill="1" applyProtection="1">
      <protection locked="0"/>
    </xf>
    <xf numFmtId="0" fontId="0" fillId="4" borderId="0" xfId="0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164" fontId="9" fillId="2" borderId="0" xfId="1" applyNumberFormat="1" applyFont="1" applyFill="1"/>
    <xf numFmtId="164" fontId="9" fillId="4" borderId="0" xfId="1" applyNumberFormat="1" applyFont="1" applyFill="1"/>
    <xf numFmtId="37" fontId="9" fillId="2" borderId="0" xfId="0" applyNumberFormat="1" applyFont="1" applyFill="1" applyAlignment="1">
      <alignment horizontal="center"/>
    </xf>
    <xf numFmtId="0" fontId="7" fillId="3" borderId="0" xfId="0" applyFont="1" applyFill="1"/>
    <xf numFmtId="0" fontId="7" fillId="2" borderId="0" xfId="0" applyFont="1" applyFill="1" applyAlignment="1">
      <alignment horizontal="right"/>
    </xf>
    <xf numFmtId="2" fontId="11" fillId="2" borderId="0" xfId="0" applyNumberFormat="1" applyFont="1" applyFill="1" applyProtection="1">
      <protection locked="0"/>
    </xf>
    <xf numFmtId="1" fontId="11" fillId="2" borderId="0" xfId="0" applyNumberFormat="1" applyFont="1" applyFill="1" applyProtection="1">
      <protection locked="0"/>
    </xf>
    <xf numFmtId="2" fontId="11" fillId="2" borderId="0" xfId="0" applyNumberFormat="1" applyFont="1" applyFill="1"/>
    <xf numFmtId="2" fontId="11" fillId="5" borderId="0" xfId="0" applyNumberFormat="1" applyFont="1" applyFill="1" applyProtection="1">
      <protection locked="0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 applyProtection="1">
      <alignment horizontal="center"/>
      <protection locked="0"/>
    </xf>
    <xf numFmtId="0" fontId="0" fillId="5" borderId="0" xfId="0" applyFill="1"/>
    <xf numFmtId="0" fontId="12" fillId="6" borderId="0" xfId="0" applyFont="1" applyFill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right" wrapText="1"/>
      <protection locked="0"/>
    </xf>
    <xf numFmtId="0" fontId="15" fillId="2" borderId="0" xfId="0" applyFont="1" applyFill="1"/>
    <xf numFmtId="2" fontId="16" fillId="5" borderId="0" xfId="0" applyNumberFormat="1" applyFont="1" applyFill="1" applyAlignment="1" applyProtection="1">
      <alignment horizontal="right" indent="5"/>
      <protection locked="0"/>
    </xf>
    <xf numFmtId="1" fontId="16" fillId="5" borderId="0" xfId="0" applyNumberFormat="1" applyFont="1" applyFill="1" applyAlignment="1" applyProtection="1">
      <alignment horizontal="center"/>
      <protection locked="0"/>
    </xf>
    <xf numFmtId="0" fontId="17" fillId="2" borderId="0" xfId="0" applyFont="1" applyFill="1"/>
    <xf numFmtId="0" fontId="0" fillId="2" borderId="0" xfId="0" applyFill="1" applyAlignment="1">
      <alignment horizontal="left" indent="1"/>
    </xf>
    <xf numFmtId="0" fontId="18" fillId="6" borderId="0" xfId="0" applyFont="1" applyFill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center"/>
      <protection locked="0"/>
    </xf>
    <xf numFmtId="0" fontId="20" fillId="2" borderId="0" xfId="0" applyFont="1" applyFill="1"/>
    <xf numFmtId="0" fontId="21" fillId="6" borderId="0" xfId="0" applyFont="1" applyFill="1" applyAlignment="1" applyProtection="1">
      <alignment horizontal="right" wrapText="1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24" fillId="2" borderId="0" xfId="0" applyFont="1" applyFill="1"/>
    <xf numFmtId="0" fontId="25" fillId="6" borderId="0" xfId="0" applyFont="1" applyFill="1" applyAlignment="1" applyProtection="1">
      <alignment horizontal="right" wrapText="1"/>
      <protection locked="0"/>
    </xf>
    <xf numFmtId="0" fontId="0" fillId="7" borderId="2" xfId="0" applyFill="1" applyBorder="1"/>
    <xf numFmtId="0" fontId="0" fillId="7" borderId="5" xfId="0" applyFill="1" applyBorder="1"/>
    <xf numFmtId="0" fontId="0" fillId="8" borderId="2" xfId="0" applyFill="1" applyBorder="1"/>
    <xf numFmtId="41" fontId="10" fillId="8" borderId="3" xfId="0" applyNumberFormat="1" applyFont="1" applyFill="1" applyBorder="1"/>
    <xf numFmtId="0" fontId="0" fillId="8" borderId="5" xfId="0" applyFill="1" applyBorder="1"/>
    <xf numFmtId="41" fontId="10" fillId="8" borderId="6" xfId="0" applyNumberFormat="1" applyFont="1" applyFill="1" applyBorder="1"/>
    <xf numFmtId="0" fontId="31" fillId="2" borderId="0" xfId="0" applyFont="1" applyFill="1" applyAlignment="1">
      <alignment horizontal="left"/>
    </xf>
    <xf numFmtId="0" fontId="26" fillId="2" borderId="0" xfId="0" applyFont="1" applyFill="1" applyAlignment="1">
      <alignment horizontal="left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7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2" fontId="0" fillId="2" borderId="0" xfId="0" applyNumberForma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26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33" fillId="7" borderId="4" xfId="0" applyFont="1" applyFill="1" applyBorder="1"/>
    <xf numFmtId="0" fontId="33" fillId="7" borderId="1" xfId="0" applyFont="1" applyFill="1" applyBorder="1"/>
    <xf numFmtId="0" fontId="33" fillId="8" borderId="4" xfId="0" applyFont="1" applyFill="1" applyBorder="1"/>
    <xf numFmtId="0" fontId="33" fillId="8" borderId="1" xfId="0" applyFont="1" applyFill="1" applyBorder="1"/>
    <xf numFmtId="0" fontId="33" fillId="9" borderId="4" xfId="0" applyFont="1" applyFill="1" applyBorder="1"/>
    <xf numFmtId="0" fontId="33" fillId="9" borderId="1" xfId="0" applyFont="1" applyFill="1" applyBorder="1"/>
    <xf numFmtId="1" fontId="11" fillId="2" borderId="0" xfId="0" applyNumberFormat="1" applyFont="1" applyFill="1"/>
    <xf numFmtId="2" fontId="11" fillId="5" borderId="0" xfId="0" applyNumberFormat="1" applyFont="1" applyFill="1"/>
    <xf numFmtId="0" fontId="1" fillId="2" borderId="0" xfId="0" applyFont="1" applyFill="1"/>
    <xf numFmtId="2" fontId="0" fillId="0" borderId="0" xfId="0" applyNumberFormat="1"/>
    <xf numFmtId="0" fontId="1" fillId="0" borderId="0" xfId="0" applyFont="1"/>
    <xf numFmtId="0" fontId="33" fillId="9" borderId="7" xfId="0" applyFont="1" applyFill="1" applyBorder="1"/>
    <xf numFmtId="0" fontId="33" fillId="7" borderId="7" xfId="0" applyFont="1" applyFill="1" applyBorder="1"/>
    <xf numFmtId="0" fontId="33" fillId="8" borderId="7" xfId="0" applyFont="1" applyFill="1" applyBorder="1"/>
    <xf numFmtId="41" fontId="10" fillId="8" borderId="8" xfId="0" applyNumberFormat="1" applyFont="1" applyFill="1" applyBorder="1"/>
    <xf numFmtId="0" fontId="4" fillId="2" borderId="0" xfId="0" applyFont="1" applyFill="1" applyAlignment="1">
      <alignment horizontal="left"/>
    </xf>
    <xf numFmtId="41" fontId="10" fillId="7" borderId="3" xfId="0" applyNumberFormat="1" applyFont="1" applyFill="1" applyBorder="1" applyAlignment="1">
      <alignment vertical="center"/>
    </xf>
    <xf numFmtId="41" fontId="10" fillId="7" borderId="8" xfId="0" applyNumberFormat="1" applyFont="1" applyFill="1" applyBorder="1"/>
    <xf numFmtId="41" fontId="10" fillId="7" borderId="6" xfId="0" applyNumberFormat="1" applyFont="1" applyFill="1" applyBorder="1"/>
    <xf numFmtId="0" fontId="0" fillId="3" borderId="0" xfId="0" applyFill="1" applyAlignment="1">
      <alignment wrapText="1"/>
    </xf>
    <xf numFmtId="0" fontId="0" fillId="8" borderId="0" xfId="0" applyFill="1"/>
    <xf numFmtId="0" fontId="36" fillId="5" borderId="0" xfId="0" applyFont="1" applyFill="1" applyAlignment="1">
      <alignment horizontal="center" vertical="top" wrapText="1"/>
    </xf>
    <xf numFmtId="0" fontId="33" fillId="9" borderId="0" xfId="0" applyFont="1" applyFill="1"/>
    <xf numFmtId="0" fontId="33" fillId="9" borderId="2" xfId="0" applyFont="1" applyFill="1" applyBorder="1"/>
    <xf numFmtId="0" fontId="33" fillId="9" borderId="5" xfId="0" applyFont="1" applyFill="1" applyBorder="1"/>
    <xf numFmtId="41" fontId="10" fillId="8" borderId="11" xfId="0" applyNumberFormat="1" applyFont="1" applyFill="1" applyBorder="1"/>
    <xf numFmtId="41" fontId="10" fillId="8" borderId="10" xfId="0" applyNumberFormat="1" applyFont="1" applyFill="1" applyBorder="1"/>
    <xf numFmtId="41" fontId="10" fillId="8" borderId="9" xfId="0" applyNumberFormat="1" applyFont="1" applyFill="1" applyBorder="1"/>
    <xf numFmtId="41" fontId="10" fillId="7" borderId="11" xfId="0" applyNumberFormat="1" applyFont="1" applyFill="1" applyBorder="1"/>
    <xf numFmtId="41" fontId="10" fillId="7" borderId="10" xfId="0" applyNumberFormat="1" applyFont="1" applyFill="1" applyBorder="1"/>
    <xf numFmtId="41" fontId="10" fillId="7" borderId="9" xfId="0" applyNumberFormat="1" applyFont="1" applyFill="1" applyBorder="1"/>
    <xf numFmtId="0" fontId="0" fillId="7" borderId="0" xfId="0" applyFill="1"/>
    <xf numFmtId="0" fontId="33" fillId="7" borderId="0" xfId="0" applyFont="1" applyFill="1"/>
    <xf numFmtId="0" fontId="33" fillId="8" borderId="2" xfId="0" applyFont="1" applyFill="1" applyBorder="1"/>
    <xf numFmtId="165" fontId="33" fillId="9" borderId="11" xfId="0" applyNumberFormat="1" applyFont="1" applyFill="1" applyBorder="1"/>
    <xf numFmtId="165" fontId="33" fillId="9" borderId="3" xfId="0" applyNumberFormat="1" applyFont="1" applyFill="1" applyBorder="1"/>
    <xf numFmtId="165" fontId="33" fillId="9" borderId="10" xfId="0" applyNumberFormat="1" applyFont="1" applyFill="1" applyBorder="1"/>
    <xf numFmtId="165" fontId="33" fillId="9" borderId="8" xfId="0" applyNumberFormat="1" applyFont="1" applyFill="1" applyBorder="1"/>
    <xf numFmtId="165" fontId="33" fillId="9" borderId="9" xfId="0" applyNumberFormat="1" applyFont="1" applyFill="1" applyBorder="1"/>
    <xf numFmtId="165" fontId="33" fillId="9" borderId="6" xfId="0" applyNumberFormat="1" applyFont="1" applyFill="1" applyBorder="1"/>
    <xf numFmtId="0" fontId="34" fillId="6" borderId="0" xfId="0" applyFont="1" applyFill="1" applyAlignment="1" applyProtection="1">
      <alignment horizontal="left"/>
      <protection locked="0"/>
    </xf>
    <xf numFmtId="0" fontId="33" fillId="7" borderId="13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5" fillId="0" borderId="0" xfId="2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  <color rgb="FFFF9900"/>
      <color rgb="FFF2B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0</xdr:rowOff>
    </xdr:from>
    <xdr:to>
      <xdr:col>1</xdr:col>
      <xdr:colOff>1428750</xdr:colOff>
      <xdr:row>3</xdr:row>
      <xdr:rowOff>190500</xdr:rowOff>
    </xdr:to>
    <xdr:pic>
      <xdr:nvPicPr>
        <xdr:cNvPr id="5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61925"/>
          <a:ext cx="1457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5683250</xdr:colOff>
      <xdr:row>0</xdr:row>
      <xdr:rowOff>79375</xdr:rowOff>
    </xdr:from>
    <xdr:to>
      <xdr:col>1</xdr:col>
      <xdr:colOff>6843710</xdr:colOff>
      <xdr:row>6</xdr:row>
      <xdr:rowOff>1713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5" y="79375"/>
          <a:ext cx="1160460" cy="10653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6653211</xdr:colOff>
      <xdr:row>3</xdr:row>
      <xdr:rowOff>157275</xdr:rowOff>
    </xdr:from>
    <xdr:to>
      <xdr:col>2</xdr:col>
      <xdr:colOff>358773</xdr:colOff>
      <xdr:row>7</xdr:row>
      <xdr:rowOff>133620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0586" y="728775"/>
          <a:ext cx="1325562" cy="873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1457325</xdr:colOff>
      <xdr:row>4</xdr:row>
      <xdr:rowOff>95250</xdr:rowOff>
    </xdr:to>
    <xdr:pic>
      <xdr:nvPicPr>
        <xdr:cNvPr id="5121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4780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4</xdr:row>
      <xdr:rowOff>158749</xdr:rowOff>
    </xdr:from>
    <xdr:to>
      <xdr:col>6</xdr:col>
      <xdr:colOff>2084332</xdr:colOff>
      <xdr:row>38</xdr:row>
      <xdr:rowOff>85724</xdr:rowOff>
    </xdr:to>
    <xdr:pic>
      <xdr:nvPicPr>
        <xdr:cNvPr id="5122" name="Picture 2" descr="P:\My Documents\Mkt Work\Mkt Research\Greenhouse\training info\Greenhouse Heat map 1.jpg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15974"/>
          <a:ext cx="8237482" cy="52419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29585</xdr:colOff>
      <xdr:row>0</xdr:row>
      <xdr:rowOff>159471</xdr:rowOff>
    </xdr:from>
    <xdr:to>
      <xdr:col>1</xdr:col>
      <xdr:colOff>1475653</xdr:colOff>
      <xdr:row>4</xdr:row>
      <xdr:rowOff>125412</xdr:rowOff>
    </xdr:to>
    <xdr:pic>
      <xdr:nvPicPr>
        <xdr:cNvPr id="4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403" y="159471"/>
          <a:ext cx="1446068" cy="6326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4</xdr:row>
      <xdr:rowOff>180975</xdr:rowOff>
    </xdr:from>
    <xdr:to>
      <xdr:col>6</xdr:col>
      <xdr:colOff>1762125</xdr:colOff>
      <xdr:row>39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838200"/>
          <a:ext cx="7229475" cy="53625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38100</xdr:colOff>
      <xdr:row>4</xdr:row>
      <xdr:rowOff>38100</xdr:rowOff>
    </xdr:to>
    <xdr:pic>
      <xdr:nvPicPr>
        <xdr:cNvPr id="2054" name="Picture 6" descr="P:\My Documents\Mkt Work\logos\LB White\LBWnew281.jpg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1200150</xdr:colOff>
      <xdr:row>7</xdr:row>
      <xdr:rowOff>123825</xdr:rowOff>
    </xdr:from>
    <xdr:to>
      <xdr:col>4</xdr:col>
      <xdr:colOff>1438275</xdr:colOff>
      <xdr:row>8</xdr:row>
      <xdr:rowOff>95250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ShapeType="1"/>
        </xdr:cNvSpPr>
      </xdr:nvSpPr>
      <xdr:spPr bwMode="auto">
        <a:xfrm flipH="1">
          <a:off x="3571875" y="1352550"/>
          <a:ext cx="2381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1403349</xdr:colOff>
      <xdr:row>5</xdr:row>
      <xdr:rowOff>49212</xdr:rowOff>
    </xdr:from>
    <xdr:to>
      <xdr:col>7</xdr:col>
      <xdr:colOff>260350</xdr:colOff>
      <xdr:row>7</xdr:row>
      <xdr:rowOff>163512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68724" y="938212"/>
          <a:ext cx="849314" cy="431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7</xdr:col>
      <xdr:colOff>422203</xdr:colOff>
      <xdr:row>4</xdr:row>
      <xdr:rowOff>38622</xdr:rowOff>
    </xdr:from>
    <xdr:to>
      <xdr:col>15</xdr:col>
      <xdr:colOff>584</xdr:colOff>
      <xdr:row>18</xdr:row>
      <xdr:rowOff>72244</xdr:rowOff>
    </xdr:to>
    <xdr:sp macro="" textlink="">
      <xdr:nvSpPr>
        <xdr:cNvPr id="2077" name="AutoShape 29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730967" y="793695"/>
          <a:ext cx="5078635" cy="2430458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  <a:effectLst>
          <a:reflection blurRad="6350" stA="50000" endA="295" endPos="92000" dist="101600" dir="5400000" sy="-100000" algn="bl" rotWithShape="0"/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450700</xdr:colOff>
      <xdr:row>7</xdr:row>
      <xdr:rowOff>121782</xdr:rowOff>
    </xdr:from>
    <xdr:to>
      <xdr:col>13</xdr:col>
      <xdr:colOff>339549</xdr:colOff>
      <xdr:row>14</xdr:row>
      <xdr:rowOff>100408</xdr:rowOff>
    </xdr:to>
    <xdr:sp macro="" textlink="">
      <xdr:nvSpPr>
        <xdr:cNvPr id="2079" name="Line 3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 flipV="1">
          <a:off x="6689575" y="1328282"/>
          <a:ext cx="1801787" cy="1097814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450700</xdr:colOff>
      <xdr:row>9</xdr:row>
      <xdr:rowOff>96601</xdr:rowOff>
    </xdr:from>
    <xdr:to>
      <xdr:col>13</xdr:col>
      <xdr:colOff>339549</xdr:colOff>
      <xdr:row>16</xdr:row>
      <xdr:rowOff>52861</xdr:rowOff>
    </xdr:to>
    <xdr:sp macro="" textlink="">
      <xdr:nvSpPr>
        <xdr:cNvPr id="2080" name="Line 32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ShapeType="1"/>
        </xdr:cNvSpPr>
      </xdr:nvSpPr>
      <xdr:spPr bwMode="auto">
        <a:xfrm flipV="1">
          <a:off x="6689575" y="1628539"/>
          <a:ext cx="1801787" cy="110719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428053</xdr:colOff>
      <xdr:row>14</xdr:row>
      <xdr:rowOff>100408</xdr:rowOff>
    </xdr:from>
    <xdr:to>
      <xdr:col>10</xdr:col>
      <xdr:colOff>450700</xdr:colOff>
      <xdr:row>14</xdr:row>
      <xdr:rowOff>109791</xdr:rowOff>
    </xdr:to>
    <xdr:sp macro="" textlink="">
      <xdr:nvSpPr>
        <xdr:cNvPr id="2081" name="Line 33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ShapeType="1"/>
        </xdr:cNvSpPr>
      </xdr:nvSpPr>
      <xdr:spPr bwMode="auto">
        <a:xfrm flipH="1">
          <a:off x="5277866" y="2426096"/>
          <a:ext cx="1411709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437340</xdr:colOff>
      <xdr:row>16</xdr:row>
      <xdr:rowOff>52861</xdr:rowOff>
    </xdr:from>
    <xdr:to>
      <xdr:col>10</xdr:col>
      <xdr:colOff>459987</xdr:colOff>
      <xdr:row>16</xdr:row>
      <xdr:rowOff>62244</xdr:rowOff>
    </xdr:to>
    <xdr:sp macro="" textlink="">
      <xdr:nvSpPr>
        <xdr:cNvPr id="2083" name="Line 35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ShapeType="1"/>
        </xdr:cNvSpPr>
      </xdr:nvSpPr>
      <xdr:spPr bwMode="auto">
        <a:xfrm flipH="1">
          <a:off x="5287153" y="2735736"/>
          <a:ext cx="1411709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435082</xdr:colOff>
      <xdr:row>11</xdr:row>
      <xdr:rowOff>60592</xdr:rowOff>
    </xdr:from>
    <xdr:to>
      <xdr:col>9</xdr:col>
      <xdr:colOff>490807</xdr:colOff>
      <xdr:row>11</xdr:row>
      <xdr:rowOff>69975</xdr:rowOff>
    </xdr:to>
    <xdr:sp macro="" textlink="">
      <xdr:nvSpPr>
        <xdr:cNvPr id="2103" name="Line 55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ShapeType="1"/>
        </xdr:cNvSpPr>
      </xdr:nvSpPr>
      <xdr:spPr bwMode="auto">
        <a:xfrm flipH="1">
          <a:off x="5872270" y="1910030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339548</xdr:colOff>
      <xdr:row>7</xdr:row>
      <xdr:rowOff>121782</xdr:rowOff>
    </xdr:from>
    <xdr:to>
      <xdr:col>13</xdr:col>
      <xdr:colOff>348836</xdr:colOff>
      <xdr:row>9</xdr:row>
      <xdr:rowOff>96601</xdr:rowOff>
    </xdr:to>
    <xdr:sp macro="" textlink="">
      <xdr:nvSpPr>
        <xdr:cNvPr id="2141" name="Line 93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ShapeType="1"/>
        </xdr:cNvSpPr>
      </xdr:nvSpPr>
      <xdr:spPr bwMode="auto">
        <a:xfrm>
          <a:off x="8491361" y="1328282"/>
          <a:ext cx="9288" cy="30025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182563</xdr:colOff>
      <xdr:row>5</xdr:row>
      <xdr:rowOff>57150</xdr:rowOff>
    </xdr:from>
    <xdr:to>
      <xdr:col>11</xdr:col>
      <xdr:colOff>609600</xdr:colOff>
      <xdr:row>11</xdr:row>
      <xdr:rowOff>142874</xdr:rowOff>
    </xdr:to>
    <xdr:sp macro="" textlink="">
      <xdr:nvSpPr>
        <xdr:cNvPr id="2142" name="Line 94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ShapeType="1"/>
        </xdr:cNvSpPr>
      </xdr:nvSpPr>
      <xdr:spPr bwMode="auto">
        <a:xfrm flipV="1">
          <a:off x="5459413" y="962025"/>
          <a:ext cx="1817687" cy="1095374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546532</xdr:colOff>
      <xdr:row>11</xdr:row>
      <xdr:rowOff>60592</xdr:rowOff>
    </xdr:from>
    <xdr:to>
      <xdr:col>9</xdr:col>
      <xdr:colOff>555820</xdr:colOff>
      <xdr:row>14</xdr:row>
      <xdr:rowOff>100409</xdr:rowOff>
    </xdr:to>
    <xdr:sp macro="" textlink="">
      <xdr:nvSpPr>
        <xdr:cNvPr id="2143" name="Line 95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ShapeType="1"/>
        </xdr:cNvSpPr>
      </xdr:nvSpPr>
      <xdr:spPr bwMode="auto">
        <a:xfrm>
          <a:off x="5983720" y="1910030"/>
          <a:ext cx="9288" cy="51606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478563</xdr:colOff>
      <xdr:row>16</xdr:row>
      <xdr:rowOff>99776</xdr:rowOff>
    </xdr:from>
    <xdr:to>
      <xdr:col>10</xdr:col>
      <xdr:colOff>571439</xdr:colOff>
      <xdr:row>17</xdr:row>
      <xdr:rowOff>63005</xdr:rowOff>
    </xdr:to>
    <xdr:sp macro="" textlink="">
      <xdr:nvSpPr>
        <xdr:cNvPr id="2182" name="Line 134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ShapeType="1"/>
        </xdr:cNvSpPr>
      </xdr:nvSpPr>
      <xdr:spPr bwMode="auto">
        <a:xfrm>
          <a:off x="6717438" y="2782651"/>
          <a:ext cx="92876" cy="121979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367411</xdr:colOff>
      <xdr:row>9</xdr:row>
      <xdr:rowOff>143516</xdr:rowOff>
    </xdr:from>
    <xdr:to>
      <xdr:col>13</xdr:col>
      <xdr:colOff>460287</xdr:colOff>
      <xdr:row>10</xdr:row>
      <xdr:rowOff>116128</xdr:rowOff>
    </xdr:to>
    <xdr:sp macro="" textlink="">
      <xdr:nvSpPr>
        <xdr:cNvPr id="2183" name="Line 135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ShapeType="1"/>
        </xdr:cNvSpPr>
      </xdr:nvSpPr>
      <xdr:spPr bwMode="auto">
        <a:xfrm>
          <a:off x="8519224" y="1675454"/>
          <a:ext cx="92876" cy="131362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718062</xdr:colOff>
      <xdr:row>12</xdr:row>
      <xdr:rowOff>125976</xdr:rowOff>
    </xdr:from>
    <xdr:to>
      <xdr:col>10</xdr:col>
      <xdr:colOff>111535</xdr:colOff>
      <xdr:row>13</xdr:row>
      <xdr:rowOff>144412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6166362" y="2164326"/>
          <a:ext cx="193573" cy="180361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9</xdr:col>
      <xdr:colOff>197259</xdr:colOff>
      <xdr:row>12</xdr:row>
      <xdr:rowOff>129973</xdr:rowOff>
    </xdr:from>
    <xdr:to>
      <xdr:col>9</xdr:col>
      <xdr:colOff>390832</xdr:colOff>
      <xdr:row>13</xdr:row>
      <xdr:rowOff>148409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5786283" y="2176312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9</xdr:col>
      <xdr:colOff>457507</xdr:colOff>
      <xdr:row>15</xdr:row>
      <xdr:rowOff>13212</xdr:rowOff>
    </xdr:from>
    <xdr:to>
      <xdr:col>9</xdr:col>
      <xdr:colOff>651080</xdr:colOff>
      <xdr:row>15</xdr:row>
      <xdr:rowOff>194494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5905807" y="2537337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11</xdr:col>
      <xdr:colOff>277146</xdr:colOff>
      <xdr:row>7</xdr:row>
      <xdr:rowOff>183108</xdr:rowOff>
    </xdr:from>
    <xdr:to>
      <xdr:col>11</xdr:col>
      <xdr:colOff>470719</xdr:colOff>
      <xdr:row>9</xdr:row>
      <xdr:rowOff>41769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7247205" y="1415755"/>
          <a:ext cx="193573" cy="18363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E</a:t>
          </a:r>
        </a:p>
      </xdr:txBody>
    </xdr:sp>
    <xdr:clientData/>
  </xdr:twoCellAnchor>
  <xdr:twoCellAnchor>
    <xdr:from>
      <xdr:col>11</xdr:col>
      <xdr:colOff>679654</xdr:colOff>
      <xdr:row>11</xdr:row>
      <xdr:rowOff>80808</xdr:rowOff>
    </xdr:from>
    <xdr:to>
      <xdr:col>12</xdr:col>
      <xdr:colOff>169606</xdr:colOff>
      <xdr:row>12</xdr:row>
      <xdr:rowOff>99243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7657485" y="1964300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193718</xdr:colOff>
      <xdr:row>16</xdr:row>
      <xdr:rowOff>63792</xdr:rowOff>
    </xdr:from>
    <xdr:to>
      <xdr:col>8</xdr:col>
      <xdr:colOff>376598</xdr:colOff>
      <xdr:row>16</xdr:row>
      <xdr:rowOff>63792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CxnSpPr/>
      </xdr:nvCxnSpPr>
      <xdr:spPr bwMode="auto">
        <a:xfrm>
          <a:off x="5046932" y="2803363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182386</xdr:colOff>
      <xdr:row>14</xdr:row>
      <xdr:rowOff>137672</xdr:rowOff>
    </xdr:from>
    <xdr:to>
      <xdr:col>8</xdr:col>
      <xdr:colOff>303623</xdr:colOff>
      <xdr:row>16</xdr:row>
      <xdr:rowOff>36820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5035600" y="2514386"/>
          <a:ext cx="121237" cy="26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180601</xdr:colOff>
      <xdr:row>12</xdr:row>
      <xdr:rowOff>37085</xdr:rowOff>
    </xdr:from>
    <xdr:to>
      <xdr:col>8</xdr:col>
      <xdr:colOff>292313</xdr:colOff>
      <xdr:row>13</xdr:row>
      <xdr:rowOff>137939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5033815" y="2087228"/>
          <a:ext cx="111712" cy="26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405774</xdr:colOff>
      <xdr:row>16</xdr:row>
      <xdr:rowOff>48226</xdr:rowOff>
    </xdr:from>
    <xdr:to>
      <xdr:col>9</xdr:col>
      <xdr:colOff>601877</xdr:colOff>
      <xdr:row>17</xdr:row>
      <xdr:rowOff>149880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5858837" y="2790065"/>
          <a:ext cx="196103" cy="264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18185</xdr:colOff>
      <xdr:row>13</xdr:row>
      <xdr:rowOff>4940</xdr:rowOff>
    </xdr:from>
    <xdr:to>
      <xdr:col>12</xdr:col>
      <xdr:colOff>214288</xdr:colOff>
      <xdr:row>14</xdr:row>
      <xdr:rowOff>105794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7555924" y="2187031"/>
          <a:ext cx="196103" cy="261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195036</xdr:colOff>
      <xdr:row>14</xdr:row>
      <xdr:rowOff>111534</xdr:rowOff>
    </xdr:from>
    <xdr:to>
      <xdr:col>8</xdr:col>
      <xdr:colOff>377916</xdr:colOff>
      <xdr:row>14</xdr:row>
      <xdr:rowOff>111534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 bwMode="auto">
        <a:xfrm>
          <a:off x="5048250" y="2488248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284959</xdr:colOff>
      <xdr:row>11</xdr:row>
      <xdr:rowOff>77902</xdr:rowOff>
    </xdr:from>
    <xdr:to>
      <xdr:col>8</xdr:col>
      <xdr:colOff>286547</xdr:colOff>
      <xdr:row>12</xdr:row>
      <xdr:rowOff>91509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 bwMode="auto">
        <a:xfrm rot="5400000" flipH="1" flipV="1">
          <a:off x="5050520" y="2052412"/>
          <a:ext cx="17689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284956</xdr:colOff>
      <xdr:row>13</xdr:row>
      <xdr:rowOff>77900</xdr:rowOff>
    </xdr:from>
    <xdr:to>
      <xdr:col>8</xdr:col>
      <xdr:colOff>286544</xdr:colOff>
      <xdr:row>14</xdr:row>
      <xdr:rowOff>109651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CxnSpPr/>
      </xdr:nvCxnSpPr>
      <xdr:spPr bwMode="auto">
        <a:xfrm rot="5400000">
          <a:off x="5041446" y="2388053"/>
          <a:ext cx="19503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200705</xdr:colOff>
      <xdr:row>11</xdr:row>
      <xdr:rowOff>61232</xdr:rowOff>
    </xdr:from>
    <xdr:to>
      <xdr:col>9</xdr:col>
      <xdr:colOff>541448</xdr:colOff>
      <xdr:row>11</xdr:row>
      <xdr:rowOff>61642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CxnSpPr>
          <a:cxnSpLocks/>
          <a:stCxn id="122" idx="0"/>
        </xdr:cNvCxnSpPr>
      </xdr:nvCxnSpPr>
      <xdr:spPr bwMode="auto">
        <a:xfrm flipH="1" flipV="1">
          <a:off x="5061857" y="1949223"/>
          <a:ext cx="932654" cy="4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284957</xdr:colOff>
      <xdr:row>15</xdr:row>
      <xdr:rowOff>168616</xdr:rowOff>
    </xdr:from>
    <xdr:to>
      <xdr:col>8</xdr:col>
      <xdr:colOff>286545</xdr:colOff>
      <xdr:row>16</xdr:row>
      <xdr:rowOff>64295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CxnSpPr/>
      </xdr:nvCxnSpPr>
      <xdr:spPr bwMode="auto">
        <a:xfrm rot="5400000">
          <a:off x="5091340" y="2755447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284957</xdr:colOff>
      <xdr:row>14</xdr:row>
      <xdr:rowOff>118723</xdr:rowOff>
    </xdr:from>
    <xdr:to>
      <xdr:col>8</xdr:col>
      <xdr:colOff>286545</xdr:colOff>
      <xdr:row>15</xdr:row>
      <xdr:rowOff>50687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 bwMode="auto">
        <a:xfrm rot="5400000" flipH="1" flipV="1">
          <a:off x="5091340" y="2542268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435769</xdr:colOff>
      <xdr:row>16</xdr:row>
      <xdr:rowOff>122124</xdr:rowOff>
    </xdr:from>
    <xdr:to>
      <xdr:col>8</xdr:col>
      <xdr:colOff>437357</xdr:colOff>
      <xdr:row>17</xdr:row>
      <xdr:rowOff>113052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 bwMode="auto">
        <a:xfrm rot="5400000">
          <a:off x="5220608" y="2940276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444498</xdr:colOff>
      <xdr:row>16</xdr:row>
      <xdr:rowOff>111535</xdr:rowOff>
    </xdr:from>
    <xdr:to>
      <xdr:col>10</xdr:col>
      <xdr:colOff>446086</xdr:colOff>
      <xdr:row>17</xdr:row>
      <xdr:rowOff>102463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 bwMode="auto">
        <a:xfrm rot="5400000">
          <a:off x="6620667" y="2929687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427114</xdr:colOff>
      <xdr:row>11</xdr:row>
      <xdr:rowOff>63501</xdr:rowOff>
    </xdr:from>
    <xdr:to>
      <xdr:col>10</xdr:col>
      <xdr:colOff>460000</xdr:colOff>
      <xdr:row>17</xdr:row>
      <xdr:rowOff>117930</xdr:rowOff>
    </xdr:to>
    <xdr:sp macro="" textlink="">
      <xdr:nvSpPr>
        <xdr:cNvPr id="121" name="Arc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 bwMode="auto">
        <a:xfrm>
          <a:off x="5113414" y="1978026"/>
          <a:ext cx="1423536" cy="1064079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11</xdr:row>
      <xdr:rowOff>61642</xdr:rowOff>
    </xdr:from>
    <xdr:to>
      <xdr:col>10</xdr:col>
      <xdr:colOff>439963</xdr:colOff>
      <xdr:row>17</xdr:row>
      <xdr:rowOff>116071</xdr:rowOff>
    </xdr:to>
    <xdr:sp macro="" textlink="">
      <xdr:nvSpPr>
        <xdr:cNvPr id="122" name="Arc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/>
      </xdr:nvSpPr>
      <xdr:spPr bwMode="auto">
        <a:xfrm flipH="1">
          <a:off x="5288641" y="1948499"/>
          <a:ext cx="1392465" cy="1070429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14</xdr:row>
      <xdr:rowOff>107566</xdr:rowOff>
    </xdr:from>
    <xdr:to>
      <xdr:col>8</xdr:col>
      <xdr:colOff>436004</xdr:colOff>
      <xdr:row>16</xdr:row>
      <xdr:rowOff>61220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>
          <a:cxnSpLocks/>
          <a:stCxn id="122" idx="2"/>
          <a:endCxn id="2083" idx="1"/>
        </xdr:cNvCxnSpPr>
      </xdr:nvCxnSpPr>
      <xdr:spPr bwMode="auto">
        <a:xfrm rot="16200000" flipH="1">
          <a:off x="5138045" y="2643948"/>
          <a:ext cx="317645" cy="5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450560</xdr:colOff>
      <xdr:row>14</xdr:row>
      <xdr:rowOff>109236</xdr:rowOff>
    </xdr:from>
    <xdr:to>
      <xdr:col>10</xdr:col>
      <xdr:colOff>460000</xdr:colOff>
      <xdr:row>16</xdr:row>
      <xdr:rowOff>55399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>
          <a:cxnSpLocks/>
          <a:stCxn id="121" idx="2"/>
          <a:endCxn id="2080" idx="0"/>
        </xdr:cNvCxnSpPr>
      </xdr:nvCxnSpPr>
      <xdr:spPr bwMode="auto">
        <a:xfrm rot="5400000">
          <a:off x="6554386" y="2646702"/>
          <a:ext cx="311288" cy="94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629329</xdr:colOff>
      <xdr:row>17</xdr:row>
      <xdr:rowOff>13607</xdr:rowOff>
    </xdr:from>
    <xdr:to>
      <xdr:col>10</xdr:col>
      <xdr:colOff>442231</xdr:colOff>
      <xdr:row>17</xdr:row>
      <xdr:rowOff>17009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CxnSpPr/>
      </xdr:nvCxnSpPr>
      <xdr:spPr bwMode="auto">
        <a:xfrm>
          <a:off x="6082392" y="2918732"/>
          <a:ext cx="612321" cy="34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438831</xdr:colOff>
      <xdr:row>17</xdr:row>
      <xdr:rowOff>13607</xdr:rowOff>
    </xdr:from>
    <xdr:to>
      <xdr:col>9</xdr:col>
      <xdr:colOff>469447</xdr:colOff>
      <xdr:row>17</xdr:row>
      <xdr:rowOff>15195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CxnSpPr/>
      </xdr:nvCxnSpPr>
      <xdr:spPr bwMode="auto">
        <a:xfrm rot="10800000">
          <a:off x="5299983" y="2918732"/>
          <a:ext cx="622527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242454</xdr:colOff>
      <xdr:row>10</xdr:row>
      <xdr:rowOff>64945</xdr:rowOff>
    </xdr:from>
    <xdr:to>
      <xdr:col>13</xdr:col>
      <xdr:colOff>411306</xdr:colOff>
      <xdr:row>13</xdr:row>
      <xdr:rowOff>77933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CxnSpPr/>
      </xdr:nvCxnSpPr>
      <xdr:spPr bwMode="auto">
        <a:xfrm flipV="1">
          <a:off x="7780193" y="1766456"/>
          <a:ext cx="787977" cy="49356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568037</xdr:colOff>
      <xdr:row>14</xdr:row>
      <xdr:rowOff>25975</xdr:rowOff>
    </xdr:from>
    <xdr:to>
      <xdr:col>12</xdr:col>
      <xdr:colOff>34635</xdr:colOff>
      <xdr:row>16</xdr:row>
      <xdr:rowOff>159327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CxnSpPr/>
      </xdr:nvCxnSpPr>
      <xdr:spPr bwMode="auto">
        <a:xfrm flipH="1">
          <a:off x="6823364" y="2478230"/>
          <a:ext cx="803562" cy="4658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247650</xdr:colOff>
      <xdr:row>4</xdr:row>
      <xdr:rowOff>133350</xdr:rowOff>
    </xdr:from>
    <xdr:to>
      <xdr:col>13</xdr:col>
      <xdr:colOff>347211</xdr:colOff>
      <xdr:row>11</xdr:row>
      <xdr:rowOff>25854</xdr:rowOff>
    </xdr:to>
    <xdr:sp macro="" textlink="">
      <xdr:nvSpPr>
        <xdr:cNvPr id="4" name="Arc 3">
          <a:extLst>
            <a:ext uri="{FF2B5EF4-FFF2-40B4-BE49-F238E27FC236}">
              <a16:creationId xmlns:a16="http://schemas.microsoft.com/office/drawing/2014/main" id="{11D17B69-6885-42C4-A790-E515C9025061}"/>
            </a:ext>
          </a:extLst>
        </xdr:cNvPr>
        <xdr:cNvSpPr/>
      </xdr:nvSpPr>
      <xdr:spPr bwMode="auto">
        <a:xfrm>
          <a:off x="6915150" y="876300"/>
          <a:ext cx="1423536" cy="1064079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600073</xdr:colOff>
      <xdr:row>4</xdr:row>
      <xdr:rowOff>133350</xdr:rowOff>
    </xdr:from>
    <xdr:to>
      <xdr:col>13</xdr:col>
      <xdr:colOff>57149</xdr:colOff>
      <xdr:row>5</xdr:row>
      <xdr:rowOff>171450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70488615-2A9A-40E2-A59E-D7074688CE04}"/>
            </a:ext>
          </a:extLst>
        </xdr:cNvPr>
        <xdr:cNvSpPr/>
      </xdr:nvSpPr>
      <xdr:spPr bwMode="auto">
        <a:xfrm flipH="1">
          <a:off x="7267573" y="876300"/>
          <a:ext cx="781051" cy="200025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7</xdr:col>
      <xdr:colOff>396875</xdr:colOff>
      <xdr:row>4</xdr:row>
      <xdr:rowOff>47624</xdr:rowOff>
    </xdr:from>
    <xdr:to>
      <xdr:col>14</xdr:col>
      <xdr:colOff>934272</xdr:colOff>
      <xdr:row>18</xdr:row>
      <xdr:rowOff>85828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7743AA-9321-3D33-4F8A-F10B49AF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875" y="777874"/>
          <a:ext cx="4918897" cy="23480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412505</xdr:colOff>
      <xdr:row>4</xdr:row>
      <xdr:rowOff>13655</xdr:rowOff>
    </xdr:from>
    <xdr:to>
      <xdr:col>15</xdr:col>
      <xdr:colOff>10888</xdr:colOff>
      <xdr:row>17</xdr:row>
      <xdr:rowOff>133670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603505" y="743905"/>
          <a:ext cx="5162571" cy="2271078"/>
          <a:chOff x="4662528" y="728663"/>
          <a:chExt cx="3898901" cy="2222500"/>
        </a:xfrm>
      </xdr:grpSpPr>
      <xdr:sp macro="" textlink="">
        <xdr:nvSpPr>
          <xdr:cNvPr id="2051" name="AutoShape 3">
            <a:extLst>
              <a:ext uri="{FF2B5EF4-FFF2-40B4-BE49-F238E27FC236}">
                <a16:creationId xmlns:a16="http://schemas.microsoft.com/office/drawing/2014/main" id="{00000000-0008-0000-0400-0000030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662528" y="728663"/>
            <a:ext cx="3898901" cy="2222500"/>
          </a:xfrm>
          <a:prstGeom prst="rect">
            <a:avLst/>
          </a:prstGeom>
          <a:solidFill>
            <a:srgbClr val="FFC000"/>
          </a:solidFill>
          <a:ln w="9525">
            <a:noFill/>
            <a:miter lim="800000"/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  <a:reflection blurRad="6350" stA="50000" endA="295" endPos="92000" dist="101600" dir="5400000" sy="-100000" algn="bl" rotWithShape="0"/>
          </a:effec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7" name="Line 9">
            <a:extLst>
              <a:ext uri="{FF2B5EF4-FFF2-40B4-BE49-F238E27FC236}">
                <a16:creationId xmlns:a16="http://schemas.microsoft.com/office/drawing/2014/main" id="{00000000-0008-0000-0400-000009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30611" y="1381125"/>
            <a:ext cx="1289497" cy="816565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39688</xdr:colOff>
      <xdr:row>4</xdr:row>
      <xdr:rowOff>38100</xdr:rowOff>
    </xdr:to>
    <xdr:pic>
      <xdr:nvPicPr>
        <xdr:cNvPr id="3075" name="Picture 3" descr="P:\My Documents\Mkt Work\logos\LB White\LBWnew281.jpg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1238249</xdr:colOff>
      <xdr:row>7</xdr:row>
      <xdr:rowOff>134938</xdr:rowOff>
    </xdr:from>
    <xdr:to>
      <xdr:col>4</xdr:col>
      <xdr:colOff>1444624</xdr:colOff>
      <xdr:row>8</xdr:row>
      <xdr:rowOff>85724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>
          <a:spLocks noChangeShapeType="1"/>
        </xdr:cNvSpPr>
      </xdr:nvSpPr>
      <xdr:spPr bwMode="auto">
        <a:xfrm flipH="1">
          <a:off x="3603624" y="1341438"/>
          <a:ext cx="206375" cy="149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472401</xdr:colOff>
      <xdr:row>13</xdr:row>
      <xdr:rowOff>19579</xdr:rowOff>
    </xdr:from>
    <xdr:to>
      <xdr:col>10</xdr:col>
      <xdr:colOff>482076</xdr:colOff>
      <xdr:row>15</xdr:row>
      <xdr:rowOff>133450</xdr:rowOff>
    </xdr:to>
    <xdr:sp macro="" textlink="">
      <xdr:nvSpPr>
        <xdr:cNvPr id="2053" name="Line 5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>
          <a:spLocks noChangeShapeType="1"/>
        </xdr:cNvSpPr>
      </xdr:nvSpPr>
      <xdr:spPr bwMode="auto">
        <a:xfrm>
          <a:off x="6711276" y="2186517"/>
          <a:ext cx="9675" cy="43137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472401</xdr:colOff>
      <xdr:row>10</xdr:row>
      <xdr:rowOff>120723</xdr:rowOff>
    </xdr:from>
    <xdr:to>
      <xdr:col>13</xdr:col>
      <xdr:colOff>271884</xdr:colOff>
      <xdr:row>15</xdr:row>
      <xdr:rowOff>133450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>
          <a:spLocks noChangeShapeType="1"/>
        </xdr:cNvSpPr>
      </xdr:nvSpPr>
      <xdr:spPr bwMode="auto">
        <a:xfrm flipH="1">
          <a:off x="6711276" y="1811411"/>
          <a:ext cx="1712421" cy="806477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13</xdr:row>
      <xdr:rowOff>150866</xdr:rowOff>
    </xdr:from>
    <xdr:to>
      <xdr:col>10</xdr:col>
      <xdr:colOff>472401</xdr:colOff>
      <xdr:row>15</xdr:row>
      <xdr:rowOff>133450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5308446" y="2317804"/>
          <a:ext cx="1402830" cy="30008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11</xdr:row>
      <xdr:rowOff>36994</xdr:rowOff>
    </xdr:from>
    <xdr:to>
      <xdr:col>10</xdr:col>
      <xdr:colOff>472401</xdr:colOff>
      <xdr:row>13</xdr:row>
      <xdr:rowOff>19578</xdr:rowOff>
    </xdr:to>
    <xdr:sp macro="" textlink="">
      <xdr:nvSpPr>
        <xdr:cNvPr id="2056" name="Line 8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>
          <a:spLocks noChangeShapeType="1"/>
        </xdr:cNvSpPr>
      </xdr:nvSpPr>
      <xdr:spPr bwMode="auto">
        <a:xfrm>
          <a:off x="5308446" y="1886432"/>
          <a:ext cx="1402830" cy="30008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271884</xdr:colOff>
      <xdr:row>7</xdr:row>
      <xdr:rowOff>164162</xdr:rowOff>
    </xdr:from>
    <xdr:to>
      <xdr:col>13</xdr:col>
      <xdr:colOff>281559</xdr:colOff>
      <xdr:row>10</xdr:row>
      <xdr:rowOff>120723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>
          <a:spLocks noChangeShapeType="1"/>
        </xdr:cNvSpPr>
      </xdr:nvSpPr>
      <xdr:spPr bwMode="auto">
        <a:xfrm>
          <a:off x="8423697" y="1370662"/>
          <a:ext cx="9675" cy="4407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11</xdr:row>
      <xdr:rowOff>36994</xdr:rowOff>
    </xdr:from>
    <xdr:to>
      <xdr:col>8</xdr:col>
      <xdr:colOff>468308</xdr:colOff>
      <xdr:row>13</xdr:row>
      <xdr:rowOff>150865</xdr:rowOff>
    </xdr:to>
    <xdr:sp macro="" textlink="">
      <xdr:nvSpPr>
        <xdr:cNvPr id="2059" name="Line 1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>
          <a:spLocks noChangeShapeType="1"/>
        </xdr:cNvSpPr>
      </xdr:nvSpPr>
      <xdr:spPr bwMode="auto">
        <a:xfrm flipV="1">
          <a:off x="5308446" y="1886432"/>
          <a:ext cx="9675" cy="43137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529137</xdr:colOff>
      <xdr:row>4</xdr:row>
      <xdr:rowOff>30866</xdr:rowOff>
    </xdr:from>
    <xdr:to>
      <xdr:col>12</xdr:col>
      <xdr:colOff>155732</xdr:colOff>
      <xdr:row>9</xdr:row>
      <xdr:rowOff>45032</xdr:rowOff>
    </xdr:to>
    <xdr:sp macro="" textlink="">
      <xdr:nvSpPr>
        <xdr:cNvPr id="2060" name="Line 12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>
          <a:spLocks noChangeShapeType="1"/>
        </xdr:cNvSpPr>
      </xdr:nvSpPr>
      <xdr:spPr bwMode="auto">
        <a:xfrm flipV="1">
          <a:off x="5966325" y="761116"/>
          <a:ext cx="1722095" cy="81585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9</xdr:row>
      <xdr:rowOff>45032</xdr:rowOff>
    </xdr:from>
    <xdr:to>
      <xdr:col>9</xdr:col>
      <xdr:colOff>529137</xdr:colOff>
      <xdr:row>11</xdr:row>
      <xdr:rowOff>36994</xdr:rowOff>
    </xdr:to>
    <xdr:sp macro="" textlink="">
      <xdr:nvSpPr>
        <xdr:cNvPr id="2062" name="Line 14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>
          <a:spLocks noChangeShapeType="1"/>
        </xdr:cNvSpPr>
      </xdr:nvSpPr>
      <xdr:spPr bwMode="auto">
        <a:xfrm flipH="1">
          <a:off x="5308446" y="1576970"/>
          <a:ext cx="657879" cy="30946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155732</xdr:colOff>
      <xdr:row>4</xdr:row>
      <xdr:rowOff>30866</xdr:rowOff>
    </xdr:from>
    <xdr:to>
      <xdr:col>13</xdr:col>
      <xdr:colOff>271884</xdr:colOff>
      <xdr:row>7</xdr:row>
      <xdr:rowOff>164162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>
          <a:spLocks noChangeAspect="1" noChangeShapeType="1"/>
        </xdr:cNvSpPr>
      </xdr:nvSpPr>
      <xdr:spPr bwMode="auto">
        <a:xfrm flipH="1" flipV="1">
          <a:off x="7688420" y="761116"/>
          <a:ext cx="735277" cy="609546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390525</xdr:colOff>
      <xdr:row>13</xdr:row>
      <xdr:rowOff>6350</xdr:rowOff>
    </xdr:from>
    <xdr:to>
      <xdr:col>9</xdr:col>
      <xdr:colOff>584098</xdr:colOff>
      <xdr:row>14</xdr:row>
      <xdr:rowOff>27961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5838825" y="2247900"/>
          <a:ext cx="193573" cy="186711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587375</xdr:colOff>
      <xdr:row>11</xdr:row>
      <xdr:rowOff>47625</xdr:rowOff>
    </xdr:from>
    <xdr:to>
      <xdr:col>12</xdr:col>
      <xdr:colOff>76098</xdr:colOff>
      <xdr:row>12</xdr:row>
      <xdr:rowOff>66061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7426325" y="1958975"/>
          <a:ext cx="193573" cy="183536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11</xdr:col>
      <xdr:colOff>171450</xdr:colOff>
      <xdr:row>7</xdr:row>
      <xdr:rowOff>142875</xdr:rowOff>
    </xdr:from>
    <xdr:to>
      <xdr:col>11</xdr:col>
      <xdr:colOff>365023</xdr:colOff>
      <xdr:row>9</xdr:row>
      <xdr:rowOff>307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7000875" y="1371600"/>
          <a:ext cx="193573" cy="181282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9</xdr:col>
      <xdr:colOff>393131</xdr:colOff>
      <xdr:row>10</xdr:row>
      <xdr:rowOff>79991</xdr:rowOff>
    </xdr:from>
    <xdr:to>
      <xdr:col>9</xdr:col>
      <xdr:colOff>587933</xdr:colOff>
      <xdr:row>11</xdr:row>
      <xdr:rowOff>98426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5827357" y="1803732"/>
          <a:ext cx="194802" cy="181923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92455</xdr:colOff>
      <xdr:row>11</xdr:row>
      <xdr:rowOff>122924</xdr:rowOff>
    </xdr:from>
    <xdr:to>
      <xdr:col>8</xdr:col>
      <xdr:colOff>214599</xdr:colOff>
      <xdr:row>13</xdr:row>
      <xdr:rowOff>53822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4940680" y="1999349"/>
          <a:ext cx="122144" cy="254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90795</xdr:colOff>
      <xdr:row>9</xdr:row>
      <xdr:rowOff>58363</xdr:rowOff>
    </xdr:from>
    <xdr:to>
      <xdr:col>8</xdr:col>
      <xdr:colOff>203414</xdr:colOff>
      <xdr:row>10</xdr:row>
      <xdr:rowOff>156042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4939020" y="1610938"/>
          <a:ext cx="112619" cy="259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352425</xdr:colOff>
      <xdr:row>15</xdr:row>
      <xdr:rowOff>0</xdr:rowOff>
    </xdr:from>
    <xdr:to>
      <xdr:col>9</xdr:col>
      <xdr:colOff>548528</xdr:colOff>
      <xdr:row>16</xdr:row>
      <xdr:rowOff>55843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5800725" y="2524125"/>
          <a:ext cx="196103" cy="255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6350</xdr:colOff>
      <xdr:row>13</xdr:row>
      <xdr:rowOff>69850</xdr:rowOff>
    </xdr:from>
    <xdr:to>
      <xdr:col>12</xdr:col>
      <xdr:colOff>202453</xdr:colOff>
      <xdr:row>15</xdr:row>
      <xdr:rowOff>2429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7550150" y="2270125"/>
          <a:ext cx="196103" cy="25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190501</xdr:colOff>
      <xdr:row>9</xdr:row>
      <xdr:rowOff>28581</xdr:rowOff>
    </xdr:from>
    <xdr:to>
      <xdr:col>8</xdr:col>
      <xdr:colOff>192467</xdr:colOff>
      <xdr:row>9</xdr:row>
      <xdr:rowOff>146057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CxnSpPr/>
      </xdr:nvCxnSpPr>
      <xdr:spPr bwMode="auto">
        <a:xfrm rot="16200000" flipV="1">
          <a:off x="4980971" y="1638911"/>
          <a:ext cx="117476" cy="19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61913</xdr:colOff>
      <xdr:row>9</xdr:row>
      <xdr:rowOff>28575</xdr:rowOff>
    </xdr:from>
    <xdr:to>
      <xdr:col>9</xdr:col>
      <xdr:colOff>430213</xdr:colOff>
      <xdr:row>9</xdr:row>
      <xdr:rowOff>31751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CxnSpPr/>
      </xdr:nvCxnSpPr>
      <xdr:spPr bwMode="auto">
        <a:xfrm rot="10800000">
          <a:off x="4910138" y="1581150"/>
          <a:ext cx="958850" cy="317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11</xdr:row>
      <xdr:rowOff>38100</xdr:rowOff>
    </xdr:from>
    <xdr:to>
      <xdr:col>8</xdr:col>
      <xdr:colOff>368300</xdr:colOff>
      <xdr:row>11</xdr:row>
      <xdr:rowOff>39688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CxnSpPr/>
      </xdr:nvCxnSpPr>
      <xdr:spPr bwMode="auto">
        <a:xfrm rot="10800000">
          <a:off x="4921250" y="194945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13</xdr:row>
      <xdr:rowOff>158750</xdr:rowOff>
    </xdr:from>
    <xdr:to>
      <xdr:col>8</xdr:col>
      <xdr:colOff>368300</xdr:colOff>
      <xdr:row>13</xdr:row>
      <xdr:rowOff>160338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CxnSpPr/>
      </xdr:nvCxnSpPr>
      <xdr:spPr bwMode="auto">
        <a:xfrm rot="10800000">
          <a:off x="4921250" y="240030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193264</xdr:colOff>
      <xdr:row>10</xdr:row>
      <xdr:rowOff>82590</xdr:rowOff>
    </xdr:from>
    <xdr:to>
      <xdr:col>8</xdr:col>
      <xdr:colOff>195263</xdr:colOff>
      <xdr:row>11</xdr:row>
      <xdr:rowOff>38102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CxnSpPr/>
      </xdr:nvCxnSpPr>
      <xdr:spPr bwMode="auto">
        <a:xfrm rot="16200000" flipH="1">
          <a:off x="4983770" y="1854809"/>
          <a:ext cx="117437" cy="19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400050</xdr:colOff>
      <xdr:row>14</xdr:row>
      <xdr:rowOff>127002</xdr:rowOff>
    </xdr:from>
    <xdr:to>
      <xdr:col>9</xdr:col>
      <xdr:colOff>381000</xdr:colOff>
      <xdr:row>15</xdr:row>
      <xdr:rowOff>104776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CxnSpPr/>
      </xdr:nvCxnSpPr>
      <xdr:spPr bwMode="auto">
        <a:xfrm rot="10800000">
          <a:off x="5257800" y="2489202"/>
          <a:ext cx="571500" cy="1396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381000</xdr:colOff>
      <xdr:row>14</xdr:row>
      <xdr:rowOff>57150</xdr:rowOff>
    </xdr:from>
    <xdr:to>
      <xdr:col>8</xdr:col>
      <xdr:colOff>425450</xdr:colOff>
      <xdr:row>15</xdr:row>
      <xdr:rowOff>44450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CxnSpPr/>
      </xdr:nvCxnSpPr>
      <xdr:spPr bwMode="auto">
        <a:xfrm rot="5400000">
          <a:off x="5184775" y="2517775"/>
          <a:ext cx="152400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403225</xdr:colOff>
      <xdr:row>16</xdr:row>
      <xdr:rowOff>6353</xdr:rowOff>
    </xdr:from>
    <xdr:to>
      <xdr:col>10</xdr:col>
      <xdr:colOff>447675</xdr:colOff>
      <xdr:row>16</xdr:row>
      <xdr:rowOff>155578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CxnSpPr/>
      </xdr:nvCxnSpPr>
      <xdr:spPr bwMode="auto">
        <a:xfrm rot="5400000">
          <a:off x="6599237" y="2782891"/>
          <a:ext cx="149225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587375</xdr:colOff>
      <xdr:row>15</xdr:row>
      <xdr:rowOff>149225</xdr:rowOff>
    </xdr:from>
    <xdr:to>
      <xdr:col>10</xdr:col>
      <xdr:colOff>400050</xdr:colOff>
      <xdr:row>16</xdr:row>
      <xdr:rowOff>95250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CxnSpPr/>
      </xdr:nvCxnSpPr>
      <xdr:spPr bwMode="auto">
        <a:xfrm>
          <a:off x="6035675" y="2673350"/>
          <a:ext cx="612775" cy="146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543929</xdr:colOff>
      <xdr:row>14</xdr:row>
      <xdr:rowOff>93077</xdr:rowOff>
    </xdr:from>
    <xdr:to>
      <xdr:col>11</xdr:col>
      <xdr:colOff>694324</xdr:colOff>
      <xdr:row>16</xdr:row>
      <xdr:rowOff>80711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CxnSpPr/>
      </xdr:nvCxnSpPr>
      <xdr:spPr bwMode="auto">
        <a:xfrm rot="10800000" flipV="1">
          <a:off x="6792329" y="2455277"/>
          <a:ext cx="740945" cy="34958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490933</xdr:colOff>
      <xdr:row>15</xdr:row>
      <xdr:rowOff>194991</xdr:rowOff>
    </xdr:from>
    <xdr:to>
      <xdr:col>10</xdr:col>
      <xdr:colOff>584056</xdr:colOff>
      <xdr:row>16</xdr:row>
      <xdr:rowOff>145917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CxnSpPr/>
      </xdr:nvCxnSpPr>
      <xdr:spPr bwMode="auto">
        <a:xfrm rot="16200000" flipH="1">
          <a:off x="6710419" y="2748030"/>
          <a:ext cx="150951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238125</xdr:colOff>
      <xdr:row>11</xdr:row>
      <xdr:rowOff>95251</xdr:rowOff>
    </xdr:from>
    <xdr:to>
      <xdr:col>13</xdr:col>
      <xdr:colOff>342900</xdr:colOff>
      <xdr:row>13</xdr:row>
      <xdr:rowOff>114300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CxnSpPr/>
      </xdr:nvCxnSpPr>
      <xdr:spPr bwMode="auto">
        <a:xfrm flipV="1">
          <a:off x="7781925" y="1971676"/>
          <a:ext cx="723900" cy="3428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318838</xdr:colOff>
      <xdr:row>11</xdr:row>
      <xdr:rowOff>3008</xdr:rowOff>
    </xdr:from>
    <xdr:to>
      <xdr:col>13</xdr:col>
      <xdr:colOff>411961</xdr:colOff>
      <xdr:row>11</xdr:row>
      <xdr:rowOff>154460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CxnSpPr/>
      </xdr:nvCxnSpPr>
      <xdr:spPr bwMode="auto">
        <a:xfrm rot="16200000" flipH="1">
          <a:off x="8452599" y="1908597"/>
          <a:ext cx="151452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1485900</xdr:colOff>
      <xdr:row>5</xdr:row>
      <xdr:rowOff>0</xdr:rowOff>
    </xdr:from>
    <xdr:to>
      <xdr:col>7</xdr:col>
      <xdr:colOff>333375</xdr:colOff>
      <xdr:row>7</xdr:row>
      <xdr:rowOff>114300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48100" y="904875"/>
          <a:ext cx="838200" cy="4381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8</xdr:col>
      <xdr:colOff>197103</xdr:colOff>
      <xdr:row>11</xdr:row>
      <xdr:rowOff>43443</xdr:rowOff>
    </xdr:from>
    <xdr:to>
      <xdr:col>8</xdr:col>
      <xdr:colOff>198691</xdr:colOff>
      <xdr:row>12</xdr:row>
      <xdr:rowOff>32781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CxnSpPr/>
      </xdr:nvCxnSpPr>
      <xdr:spPr bwMode="auto">
        <a:xfrm rot="5400000" flipH="1" flipV="1">
          <a:off x="4970490" y="1994706"/>
          <a:ext cx="15126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188371</xdr:colOff>
      <xdr:row>12</xdr:row>
      <xdr:rowOff>163488</xdr:rowOff>
    </xdr:from>
    <xdr:to>
      <xdr:col>8</xdr:col>
      <xdr:colOff>191925</xdr:colOff>
      <xdr:row>14</xdr:row>
      <xdr:rowOff>7107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CxnSpPr/>
      </xdr:nvCxnSpPr>
      <xdr:spPr bwMode="auto">
        <a:xfrm rot="5400000">
          <a:off x="4949093" y="2297728"/>
          <a:ext cx="170597" cy="35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565386</xdr:colOff>
      <xdr:row>9</xdr:row>
      <xdr:rowOff>44497</xdr:rowOff>
    </xdr:from>
    <xdr:to>
      <xdr:col>10</xdr:col>
      <xdr:colOff>470765</xdr:colOff>
      <xdr:row>13</xdr:row>
      <xdr:rowOff>13995</xdr:rowOff>
    </xdr:to>
    <xdr:sp macro="" textlink="">
      <xdr:nvSpPr>
        <xdr:cNvPr id="171" name="Line 15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 flipH="1" flipV="1">
          <a:off x="6013686" y="1597072"/>
          <a:ext cx="705479" cy="617198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413613</xdr:colOff>
      <xdr:row>4</xdr:row>
      <xdr:rowOff>7937</xdr:rowOff>
    </xdr:from>
    <xdr:to>
      <xdr:col>15</xdr:col>
      <xdr:colOff>8800</xdr:colOff>
      <xdr:row>17</xdr:row>
      <xdr:rowOff>134937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D791AD-330E-A6F7-B7C4-E3CADB1A5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4613" y="738187"/>
          <a:ext cx="5159375" cy="22780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473600</xdr:colOff>
      <xdr:row>3</xdr:row>
      <xdr:rowOff>56174</xdr:rowOff>
    </xdr:from>
    <xdr:to>
      <xdr:col>15</xdr:col>
      <xdr:colOff>1269</xdr:colOff>
      <xdr:row>17</xdr:row>
      <xdr:rowOff>37129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500-0000020C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786520" y="650534"/>
          <a:ext cx="5044549" cy="237363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noFill/>
          <a:miter lim="800000"/>
          <a:headEnd/>
          <a:tailEnd/>
        </a:ln>
        <a:effectLst>
          <a:reflection blurRad="6350" stA="50000" endA="295" endPos="92000" dist="101600" dir="5400000" sy="-100000" algn="bl" rotWithShape="0"/>
        </a:effectLst>
      </xdr:spPr>
    </xdr:sp>
    <xdr:clientData/>
  </xdr:twoCellAnchor>
  <xdr:twoCellAnchor>
    <xdr:from>
      <xdr:col>8</xdr:col>
      <xdr:colOff>178590</xdr:colOff>
      <xdr:row>7</xdr:row>
      <xdr:rowOff>126476</xdr:rowOff>
    </xdr:from>
    <xdr:to>
      <xdr:col>9</xdr:col>
      <xdr:colOff>483719</xdr:colOff>
      <xdr:row>9</xdr:row>
      <xdr:rowOff>7387</xdr:rowOff>
    </xdr:to>
    <xdr:sp macro="" textlink="">
      <xdr:nvSpPr>
        <xdr:cNvPr id="3106" name="Line 34">
          <a:extLst>
            <a:ext uri="{FF2B5EF4-FFF2-40B4-BE49-F238E27FC236}">
              <a16:creationId xmlns:a16="http://schemas.microsoft.com/office/drawing/2014/main" id="{00000000-0008-0000-0500-0000220C0000}"/>
            </a:ext>
          </a:extLst>
        </xdr:cNvPr>
        <xdr:cNvSpPr>
          <a:spLocks noChangeShapeType="1"/>
        </xdr:cNvSpPr>
      </xdr:nvSpPr>
      <xdr:spPr bwMode="auto">
        <a:xfrm flipH="1" flipV="1">
          <a:off x="4750590" y="1332976"/>
          <a:ext cx="892504" cy="2063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140204</xdr:colOff>
      <xdr:row>9</xdr:row>
      <xdr:rowOff>142312</xdr:rowOff>
    </xdr:from>
    <xdr:to>
      <xdr:col>9</xdr:col>
      <xdr:colOff>445333</xdr:colOff>
      <xdr:row>11</xdr:row>
      <xdr:rowOff>31161</xdr:rowOff>
    </xdr:to>
    <xdr:sp macro="" textlink="">
      <xdr:nvSpPr>
        <xdr:cNvPr id="3107" name="Line 35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SpPr>
          <a:spLocks noChangeShapeType="1"/>
        </xdr:cNvSpPr>
      </xdr:nvSpPr>
      <xdr:spPr bwMode="auto">
        <a:xfrm flipH="1" flipV="1">
          <a:off x="4712204" y="1674250"/>
          <a:ext cx="892504" cy="2063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50754</xdr:colOff>
      <xdr:row>4</xdr:row>
      <xdr:rowOff>103187</xdr:rowOff>
    </xdr:from>
    <xdr:to>
      <xdr:col>11</xdr:col>
      <xdr:colOff>349250</xdr:colOff>
      <xdr:row>9</xdr:row>
      <xdr:rowOff>95410</xdr:rowOff>
    </xdr:to>
    <xdr:sp macro="" textlink="">
      <xdr:nvSpPr>
        <xdr:cNvPr id="3136" name="Line 64">
          <a:extLst>
            <a:ext uri="{FF2B5EF4-FFF2-40B4-BE49-F238E27FC236}">
              <a16:creationId xmlns:a16="http://schemas.microsoft.com/office/drawing/2014/main" id="{00000000-0008-0000-0500-0000400C0000}"/>
            </a:ext>
          </a:extLst>
        </xdr:cNvPr>
        <xdr:cNvSpPr>
          <a:spLocks noChangeShapeType="1"/>
        </xdr:cNvSpPr>
      </xdr:nvSpPr>
      <xdr:spPr bwMode="auto">
        <a:xfrm flipV="1">
          <a:off x="5321254" y="833437"/>
          <a:ext cx="1687559" cy="833598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517361</xdr:colOff>
      <xdr:row>15</xdr:row>
      <xdr:rowOff>137141</xdr:rowOff>
    </xdr:from>
    <xdr:to>
      <xdr:col>11</xdr:col>
      <xdr:colOff>33329</xdr:colOff>
      <xdr:row>16</xdr:row>
      <xdr:rowOff>88776</xdr:rowOff>
    </xdr:to>
    <xdr:sp macro="" textlink="">
      <xdr:nvSpPr>
        <xdr:cNvPr id="3160" name="Line 88">
          <a:extLst>
            <a:ext uri="{FF2B5EF4-FFF2-40B4-BE49-F238E27FC236}">
              <a16:creationId xmlns:a16="http://schemas.microsoft.com/office/drawing/2014/main" id="{00000000-0008-0000-0500-0000580C0000}"/>
            </a:ext>
          </a:extLst>
        </xdr:cNvPr>
        <xdr:cNvSpPr>
          <a:spLocks noChangeShapeType="1"/>
        </xdr:cNvSpPr>
      </xdr:nvSpPr>
      <xdr:spPr bwMode="auto">
        <a:xfrm>
          <a:off x="6478424" y="2621579"/>
          <a:ext cx="103343" cy="15007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389432</xdr:colOff>
      <xdr:row>10</xdr:row>
      <xdr:rowOff>49218</xdr:rowOff>
    </xdr:from>
    <xdr:to>
      <xdr:col>13</xdr:col>
      <xdr:colOff>492775</xdr:colOff>
      <xdr:row>11</xdr:row>
      <xdr:rowOff>40540</xdr:rowOff>
    </xdr:to>
    <xdr:sp macro="" textlink="">
      <xdr:nvSpPr>
        <xdr:cNvPr id="3161" name="Line 89">
          <a:extLst>
            <a:ext uri="{FF2B5EF4-FFF2-40B4-BE49-F238E27FC236}">
              <a16:creationId xmlns:a16="http://schemas.microsoft.com/office/drawing/2014/main" id="{00000000-0008-0000-0500-0000590C0000}"/>
            </a:ext>
          </a:extLst>
        </xdr:cNvPr>
        <xdr:cNvSpPr>
          <a:spLocks noChangeShapeType="1"/>
        </xdr:cNvSpPr>
      </xdr:nvSpPr>
      <xdr:spPr bwMode="auto">
        <a:xfrm>
          <a:off x="8263432" y="1739906"/>
          <a:ext cx="103343" cy="15007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337495</xdr:colOff>
      <xdr:row>13</xdr:row>
      <xdr:rowOff>126359</xdr:rowOff>
    </xdr:from>
    <xdr:to>
      <xdr:col>8</xdr:col>
      <xdr:colOff>384469</xdr:colOff>
      <xdr:row>14</xdr:row>
      <xdr:rowOff>136440</xdr:rowOff>
    </xdr:to>
    <xdr:sp macro="" textlink="">
      <xdr:nvSpPr>
        <xdr:cNvPr id="3187" name="Line 115">
          <a:extLst>
            <a:ext uri="{FF2B5EF4-FFF2-40B4-BE49-F238E27FC236}">
              <a16:creationId xmlns:a16="http://schemas.microsoft.com/office/drawing/2014/main" id="{00000000-0008-0000-0500-0000730C0000}"/>
            </a:ext>
          </a:extLst>
        </xdr:cNvPr>
        <xdr:cNvSpPr>
          <a:spLocks noChangeShapeType="1"/>
        </xdr:cNvSpPr>
      </xdr:nvSpPr>
      <xdr:spPr bwMode="auto">
        <a:xfrm flipH="1">
          <a:off x="4909495" y="2293297"/>
          <a:ext cx="46974" cy="16883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385834</xdr:colOff>
      <xdr:row>15</xdr:row>
      <xdr:rowOff>146521</xdr:rowOff>
    </xdr:from>
    <xdr:to>
      <xdr:col>10</xdr:col>
      <xdr:colOff>432808</xdr:colOff>
      <xdr:row>16</xdr:row>
      <xdr:rowOff>107536</xdr:rowOff>
    </xdr:to>
    <xdr:sp macro="" textlink="">
      <xdr:nvSpPr>
        <xdr:cNvPr id="3188" name="Line 116">
          <a:extLst>
            <a:ext uri="{FF2B5EF4-FFF2-40B4-BE49-F238E27FC236}">
              <a16:creationId xmlns:a16="http://schemas.microsoft.com/office/drawing/2014/main" id="{00000000-0008-0000-0500-0000740C0000}"/>
            </a:ext>
          </a:extLst>
        </xdr:cNvPr>
        <xdr:cNvSpPr>
          <a:spLocks noChangeShapeType="1"/>
        </xdr:cNvSpPr>
      </xdr:nvSpPr>
      <xdr:spPr bwMode="auto">
        <a:xfrm flipH="1">
          <a:off x="6346897" y="2630959"/>
          <a:ext cx="46974" cy="15945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10</xdr:row>
      <xdr:rowOff>49218</xdr:rowOff>
    </xdr:from>
    <xdr:to>
      <xdr:col>8</xdr:col>
      <xdr:colOff>422048</xdr:colOff>
      <xdr:row>13</xdr:row>
      <xdr:rowOff>32564</xdr:rowOff>
    </xdr:to>
    <xdr:sp macro="" textlink="">
      <xdr:nvSpPr>
        <xdr:cNvPr id="3193" name="Line 121">
          <a:extLst>
            <a:ext uri="{FF2B5EF4-FFF2-40B4-BE49-F238E27FC236}">
              <a16:creationId xmlns:a16="http://schemas.microsoft.com/office/drawing/2014/main" id="{00000000-0008-0000-0500-0000790C0000}"/>
            </a:ext>
          </a:extLst>
        </xdr:cNvPr>
        <xdr:cNvSpPr>
          <a:spLocks noChangeShapeType="1"/>
        </xdr:cNvSpPr>
      </xdr:nvSpPr>
      <xdr:spPr bwMode="auto">
        <a:xfrm flipV="1">
          <a:off x="4984653" y="1739906"/>
          <a:ext cx="9395" cy="459596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323669</xdr:colOff>
      <xdr:row>6</xdr:row>
      <xdr:rowOff>120007</xdr:rowOff>
    </xdr:from>
    <xdr:to>
      <xdr:col>13</xdr:col>
      <xdr:colOff>333064</xdr:colOff>
      <xdr:row>9</xdr:row>
      <xdr:rowOff>114174</xdr:rowOff>
    </xdr:to>
    <xdr:sp macro="" textlink="">
      <xdr:nvSpPr>
        <xdr:cNvPr id="3194" name="Line 122">
          <a:extLst>
            <a:ext uri="{FF2B5EF4-FFF2-40B4-BE49-F238E27FC236}">
              <a16:creationId xmlns:a16="http://schemas.microsoft.com/office/drawing/2014/main" id="{00000000-0008-0000-0500-00007A0C0000}"/>
            </a:ext>
          </a:extLst>
        </xdr:cNvPr>
        <xdr:cNvSpPr>
          <a:spLocks noChangeShapeType="1"/>
        </xdr:cNvSpPr>
      </xdr:nvSpPr>
      <xdr:spPr bwMode="auto">
        <a:xfrm>
          <a:off x="8197669" y="1167757"/>
          <a:ext cx="9395" cy="478355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6</xdr:row>
      <xdr:rowOff>120007</xdr:rowOff>
    </xdr:from>
    <xdr:to>
      <xdr:col>13</xdr:col>
      <xdr:colOff>323669</xdr:colOff>
      <xdr:row>12</xdr:row>
      <xdr:rowOff>50622</xdr:rowOff>
    </xdr:to>
    <xdr:sp macro="" textlink="">
      <xdr:nvSpPr>
        <xdr:cNvPr id="3195" name="Line 123">
          <a:extLst>
            <a:ext uri="{FF2B5EF4-FFF2-40B4-BE49-F238E27FC236}">
              <a16:creationId xmlns:a16="http://schemas.microsoft.com/office/drawing/2014/main" id="{00000000-0008-0000-0500-00007B0C0000}"/>
            </a:ext>
          </a:extLst>
        </xdr:cNvPr>
        <xdr:cNvSpPr>
          <a:spLocks noChangeShapeType="1"/>
        </xdr:cNvSpPr>
      </xdr:nvSpPr>
      <xdr:spPr bwMode="auto">
        <a:xfrm flipV="1">
          <a:off x="6422055" y="1167757"/>
          <a:ext cx="1775614" cy="89105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10</xdr:row>
      <xdr:rowOff>49218</xdr:rowOff>
    </xdr:from>
    <xdr:to>
      <xdr:col>10</xdr:col>
      <xdr:colOff>460992</xdr:colOff>
      <xdr:row>12</xdr:row>
      <xdr:rowOff>50621</xdr:rowOff>
    </xdr:to>
    <xdr:sp macro="" textlink="">
      <xdr:nvSpPr>
        <xdr:cNvPr id="3196" name="Line 124">
          <a:extLst>
            <a:ext uri="{FF2B5EF4-FFF2-40B4-BE49-F238E27FC236}">
              <a16:creationId xmlns:a16="http://schemas.microsoft.com/office/drawing/2014/main" id="{00000000-0008-0000-0500-00007C0C0000}"/>
            </a:ext>
          </a:extLst>
        </xdr:cNvPr>
        <xdr:cNvSpPr>
          <a:spLocks noChangeShapeType="1"/>
        </xdr:cNvSpPr>
      </xdr:nvSpPr>
      <xdr:spPr bwMode="auto">
        <a:xfrm>
          <a:off x="4984653" y="1739906"/>
          <a:ext cx="1437402" cy="31890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13</xdr:row>
      <xdr:rowOff>32564</xdr:rowOff>
    </xdr:from>
    <xdr:to>
      <xdr:col>10</xdr:col>
      <xdr:colOff>460992</xdr:colOff>
      <xdr:row>15</xdr:row>
      <xdr:rowOff>52726</xdr:rowOff>
    </xdr:to>
    <xdr:sp macro="" textlink="">
      <xdr:nvSpPr>
        <xdr:cNvPr id="3197" name="Line 125">
          <a:extLst>
            <a:ext uri="{FF2B5EF4-FFF2-40B4-BE49-F238E27FC236}">
              <a16:creationId xmlns:a16="http://schemas.microsoft.com/office/drawing/2014/main" id="{00000000-0008-0000-0500-00007D0C0000}"/>
            </a:ext>
          </a:extLst>
        </xdr:cNvPr>
        <xdr:cNvSpPr>
          <a:spLocks noChangeShapeType="1"/>
        </xdr:cNvSpPr>
      </xdr:nvSpPr>
      <xdr:spPr bwMode="auto">
        <a:xfrm>
          <a:off x="4984653" y="2199502"/>
          <a:ext cx="1437402" cy="33766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9</xdr:row>
      <xdr:rowOff>114173</xdr:rowOff>
    </xdr:from>
    <xdr:to>
      <xdr:col>13</xdr:col>
      <xdr:colOff>323669</xdr:colOff>
      <xdr:row>15</xdr:row>
      <xdr:rowOff>52726</xdr:rowOff>
    </xdr:to>
    <xdr:sp macro="" textlink="">
      <xdr:nvSpPr>
        <xdr:cNvPr id="3201" name="Line 129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 flipH="1">
          <a:off x="6422055" y="1646111"/>
          <a:ext cx="1775614" cy="89105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12</xdr:row>
      <xdr:rowOff>50621</xdr:rowOff>
    </xdr:from>
    <xdr:to>
      <xdr:col>10</xdr:col>
      <xdr:colOff>470387</xdr:colOff>
      <xdr:row>15</xdr:row>
      <xdr:rowOff>52726</xdr:rowOff>
    </xdr:to>
    <xdr:sp macro="" textlink="">
      <xdr:nvSpPr>
        <xdr:cNvPr id="3202" name="Line 130">
          <a:extLst>
            <a:ext uri="{FF2B5EF4-FFF2-40B4-BE49-F238E27FC236}">
              <a16:creationId xmlns:a16="http://schemas.microsoft.com/office/drawing/2014/main" id="{00000000-0008-0000-0500-0000820C0000}"/>
            </a:ext>
          </a:extLst>
        </xdr:cNvPr>
        <xdr:cNvSpPr>
          <a:spLocks noChangeShapeType="1"/>
        </xdr:cNvSpPr>
      </xdr:nvSpPr>
      <xdr:spPr bwMode="auto">
        <a:xfrm>
          <a:off x="6422055" y="2058809"/>
          <a:ext cx="9395" cy="478355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38100</xdr:colOff>
      <xdr:row>4</xdr:row>
      <xdr:rowOff>38100</xdr:rowOff>
    </xdr:to>
    <xdr:pic>
      <xdr:nvPicPr>
        <xdr:cNvPr id="4098" name="Picture 2" descr="P:\My Documents\Mkt Work\logos\LB White\LBWnew281.jpg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1495425</xdr:colOff>
      <xdr:row>5</xdr:row>
      <xdr:rowOff>15875</xdr:rowOff>
    </xdr:from>
    <xdr:to>
      <xdr:col>7</xdr:col>
      <xdr:colOff>285750</xdr:colOff>
      <xdr:row>7</xdr:row>
      <xdr:rowOff>152401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5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60800" y="904875"/>
          <a:ext cx="782638" cy="454026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4</xdr:col>
      <xdr:colOff>1228724</xdr:colOff>
      <xdr:row>7</xdr:row>
      <xdr:rowOff>182563</xdr:rowOff>
    </xdr:from>
    <xdr:to>
      <xdr:col>4</xdr:col>
      <xdr:colOff>1460499</xdr:colOff>
      <xdr:row>8</xdr:row>
      <xdr:rowOff>115888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500-000004100000}"/>
            </a:ext>
          </a:extLst>
        </xdr:cNvPr>
        <xdr:cNvSpPr>
          <a:spLocks noChangeShapeType="1"/>
        </xdr:cNvSpPr>
      </xdr:nvSpPr>
      <xdr:spPr bwMode="auto">
        <a:xfrm flipH="1">
          <a:off x="3594099" y="1389063"/>
          <a:ext cx="231775" cy="131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563983</xdr:colOff>
      <xdr:row>9</xdr:row>
      <xdr:rowOff>132254</xdr:rowOff>
    </xdr:from>
    <xdr:to>
      <xdr:col>9</xdr:col>
      <xdr:colOff>756692</xdr:colOff>
      <xdr:row>10</xdr:row>
      <xdr:rowOff>150689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12283" y="1684829"/>
          <a:ext cx="192709" cy="180360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9</xdr:col>
      <xdr:colOff>423890</xdr:colOff>
      <xdr:row>12</xdr:row>
      <xdr:rowOff>3666</xdr:rowOff>
    </xdr:from>
    <xdr:to>
      <xdr:col>9</xdr:col>
      <xdr:colOff>615370</xdr:colOff>
      <xdr:row>13</xdr:row>
      <xdr:rowOff>25277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5872190" y="2042016"/>
          <a:ext cx="191480" cy="183536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222406</xdr:colOff>
      <xdr:row>6</xdr:row>
      <xdr:rowOff>157670</xdr:rowOff>
    </xdr:from>
    <xdr:to>
      <xdr:col>11</xdr:col>
      <xdr:colOff>409576</xdr:colOff>
      <xdr:row>7</xdr:row>
      <xdr:rowOff>175257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7061356" y="1224470"/>
          <a:ext cx="187170" cy="179512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12</xdr:col>
      <xdr:colOff>121674</xdr:colOff>
      <xdr:row>9</xdr:row>
      <xdr:rowOff>138872</xdr:rowOff>
    </xdr:from>
    <xdr:to>
      <xdr:col>12</xdr:col>
      <xdr:colOff>300037</xdr:colOff>
      <xdr:row>10</xdr:row>
      <xdr:rowOff>157308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7665474" y="1691447"/>
          <a:ext cx="178363" cy="180361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12</xdr:col>
      <xdr:colOff>150205</xdr:colOff>
      <xdr:row>12</xdr:row>
      <xdr:rowOff>62670</xdr:rowOff>
    </xdr:from>
    <xdr:to>
      <xdr:col>12</xdr:col>
      <xdr:colOff>335645</xdr:colOff>
      <xdr:row>14</xdr:row>
      <xdr:rowOff>1917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7694005" y="2101020"/>
          <a:ext cx="185440" cy="263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9</xdr:col>
      <xdr:colOff>374047</xdr:colOff>
      <xdr:row>14</xdr:row>
      <xdr:rowOff>80963</xdr:rowOff>
    </xdr:from>
    <xdr:to>
      <xdr:col>9</xdr:col>
      <xdr:colOff>642939</xdr:colOff>
      <xdr:row>15</xdr:row>
      <xdr:rowOff>127429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5822347" y="2443163"/>
          <a:ext cx="268892" cy="208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8</xdr:col>
      <xdr:colOff>127275</xdr:colOff>
      <xdr:row>10</xdr:row>
      <xdr:rowOff>137058</xdr:rowOff>
    </xdr:from>
    <xdr:to>
      <xdr:col>8</xdr:col>
      <xdr:colOff>249419</xdr:colOff>
      <xdr:row>12</xdr:row>
      <xdr:rowOff>74625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4977088" y="1827746"/>
          <a:ext cx="122144" cy="25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308503</xdr:colOff>
      <xdr:row>8</xdr:row>
      <xdr:rowOff>6406</xdr:rowOff>
    </xdr:from>
    <xdr:to>
      <xdr:col>8</xdr:col>
      <xdr:colOff>418452</xdr:colOff>
      <xdr:row>9</xdr:row>
      <xdr:rowOff>145350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5158316" y="1411344"/>
          <a:ext cx="109949" cy="265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8</xdr:col>
      <xdr:colOff>436564</xdr:colOff>
      <xdr:row>9</xdr:row>
      <xdr:rowOff>1758</xdr:rowOff>
    </xdr:from>
    <xdr:to>
      <xdr:col>10</xdr:col>
      <xdr:colOff>444501</xdr:colOff>
      <xdr:row>12</xdr:row>
      <xdr:rowOff>47625</xdr:rowOff>
    </xdr:to>
    <xdr:sp macro="" textlink="">
      <xdr:nvSpPr>
        <xdr:cNvPr id="148" name="Freeform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 bwMode="auto">
        <a:xfrm>
          <a:off x="5008564" y="1533696"/>
          <a:ext cx="1397000" cy="522117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326127</xdr:colOff>
      <xdr:row>9</xdr:row>
      <xdr:rowOff>63217</xdr:rowOff>
    </xdr:from>
    <xdr:to>
      <xdr:col>8</xdr:col>
      <xdr:colOff>386677</xdr:colOff>
      <xdr:row>10</xdr:row>
      <xdr:rowOff>8429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CxnSpPr/>
      </xdr:nvCxnSpPr>
      <xdr:spPr bwMode="auto">
        <a:xfrm rot="5400000">
          <a:off x="5154234" y="1616861"/>
          <a:ext cx="103962" cy="60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47202</xdr:colOff>
      <xdr:row>10</xdr:row>
      <xdr:rowOff>35907</xdr:rowOff>
    </xdr:from>
    <xdr:to>
      <xdr:col>8</xdr:col>
      <xdr:colOff>352002</xdr:colOff>
      <xdr:row>10</xdr:row>
      <xdr:rowOff>37495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CxnSpPr/>
      </xdr:nvCxnSpPr>
      <xdr:spPr bwMode="auto">
        <a:xfrm rot="10800000">
          <a:off x="4897015" y="1726595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51418</xdr:colOff>
      <xdr:row>13</xdr:row>
      <xdr:rowOff>6406</xdr:rowOff>
    </xdr:from>
    <xdr:to>
      <xdr:col>8</xdr:col>
      <xdr:colOff>356218</xdr:colOff>
      <xdr:row>13</xdr:row>
      <xdr:rowOff>7994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CxnSpPr/>
      </xdr:nvCxnSpPr>
      <xdr:spPr bwMode="auto">
        <a:xfrm rot="10800000">
          <a:off x="4901231" y="2173344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233410</xdr:colOff>
      <xdr:row>10</xdr:row>
      <xdr:rowOff>42173</xdr:rowOff>
    </xdr:from>
    <xdr:to>
      <xdr:col>8</xdr:col>
      <xdr:colOff>233412</xdr:colOff>
      <xdr:row>11</xdr:row>
      <xdr:rowOff>37958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CxnSpPr/>
      </xdr:nvCxnSpPr>
      <xdr:spPr bwMode="auto">
        <a:xfrm rot="5400000" flipH="1" flipV="1">
          <a:off x="5005956" y="1810128"/>
          <a:ext cx="154535" cy="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232612</xdr:colOff>
      <xdr:row>12</xdr:row>
      <xdr:rowOff>21865</xdr:rowOff>
    </xdr:from>
    <xdr:to>
      <xdr:col>8</xdr:col>
      <xdr:colOff>234200</xdr:colOff>
      <xdr:row>13</xdr:row>
      <xdr:rowOff>9221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CxnSpPr/>
      </xdr:nvCxnSpPr>
      <xdr:spPr bwMode="auto">
        <a:xfrm rot="5400000">
          <a:off x="5010166" y="2102312"/>
          <a:ext cx="14610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437251</xdr:colOff>
      <xdr:row>7</xdr:row>
      <xdr:rowOff>193872</xdr:rowOff>
    </xdr:from>
    <xdr:to>
      <xdr:col>8</xdr:col>
      <xdr:colOff>500469</xdr:colOff>
      <xdr:row>8</xdr:row>
      <xdr:rowOff>92722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CxnSpPr/>
      </xdr:nvCxnSpPr>
      <xdr:spPr bwMode="auto">
        <a:xfrm rot="5400000" flipH="1" flipV="1">
          <a:off x="5270029" y="1417407"/>
          <a:ext cx="97288" cy="6321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415818</xdr:colOff>
      <xdr:row>14</xdr:row>
      <xdr:rowOff>31697</xdr:rowOff>
    </xdr:from>
    <xdr:to>
      <xdr:col>9</xdr:col>
      <xdr:colOff>433389</xdr:colOff>
      <xdr:row>15</xdr:row>
      <xdr:rowOff>14288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CxnSpPr/>
      </xdr:nvCxnSpPr>
      <xdr:spPr bwMode="auto">
        <a:xfrm rot="10800000">
          <a:off x="5273568" y="2393897"/>
          <a:ext cx="608121" cy="14451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638175</xdr:colOff>
      <xdr:row>15</xdr:row>
      <xdr:rowOff>57150</xdr:rowOff>
    </xdr:from>
    <xdr:to>
      <xdr:col>10</xdr:col>
      <xdr:colOff>437252</xdr:colOff>
      <xdr:row>15</xdr:row>
      <xdr:rowOff>198930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CxnSpPr/>
      </xdr:nvCxnSpPr>
      <xdr:spPr bwMode="auto">
        <a:xfrm>
          <a:off x="6086475" y="2581275"/>
          <a:ext cx="599177" cy="1417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17914</xdr:colOff>
      <xdr:row>13</xdr:row>
      <xdr:rowOff>66674</xdr:rowOff>
    </xdr:from>
    <xdr:to>
      <xdr:col>12</xdr:col>
      <xdr:colOff>204788</xdr:colOff>
      <xdr:row>15</xdr:row>
      <xdr:rowOff>193321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CxnSpPr/>
      </xdr:nvCxnSpPr>
      <xdr:spPr bwMode="auto">
        <a:xfrm rot="10800000" flipV="1">
          <a:off x="6856864" y="2266949"/>
          <a:ext cx="891724" cy="45049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319088</xdr:colOff>
      <xdr:row>10</xdr:row>
      <xdr:rowOff>110127</xdr:rowOff>
    </xdr:from>
    <xdr:to>
      <xdr:col>13</xdr:col>
      <xdr:colOff>474087</xdr:colOff>
      <xdr:row>13</xdr:row>
      <xdr:rowOff>14288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CxnSpPr/>
      </xdr:nvCxnSpPr>
      <xdr:spPr bwMode="auto">
        <a:xfrm flipV="1">
          <a:off x="7862888" y="1824627"/>
          <a:ext cx="774124" cy="38993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241300</xdr:colOff>
      <xdr:row>3</xdr:row>
      <xdr:rowOff>122409</xdr:rowOff>
    </xdr:from>
    <xdr:to>
      <xdr:col>13</xdr:col>
      <xdr:colOff>333376</xdr:colOff>
      <xdr:row>6</xdr:row>
      <xdr:rowOff>119062</xdr:rowOff>
    </xdr:to>
    <xdr:sp macro="" textlink="">
      <xdr:nvSpPr>
        <xdr:cNvPr id="43" name="Freeform 147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 bwMode="auto">
        <a:xfrm>
          <a:off x="7105650" y="712959"/>
          <a:ext cx="1457326" cy="523703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7</xdr:col>
      <xdr:colOff>490786</xdr:colOff>
      <xdr:row>3</xdr:row>
      <xdr:rowOff>55564</xdr:rowOff>
    </xdr:from>
    <xdr:to>
      <xdr:col>14</xdr:col>
      <xdr:colOff>958078</xdr:colOff>
      <xdr:row>17</xdr:row>
      <xdr:rowOff>23813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B1A058-80D8-4ADD-00AA-5C4558286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1786" y="627064"/>
          <a:ext cx="4848792" cy="2278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1466850</xdr:colOff>
      <xdr:row>4</xdr:row>
      <xdr:rowOff>95250</xdr:rowOff>
    </xdr:to>
    <xdr:pic>
      <xdr:nvPicPr>
        <xdr:cNvPr id="1042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5732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ngma.com/wp-content/uploads/2018/05/HeatSystem2010.pdf" TargetMode="External"/><Relationship Id="rId1" Type="http://schemas.openxmlformats.org/officeDocument/2006/relationships/hyperlink" Target="https://ngma.com/wp-content/uploads/2018/05/Heatloss2010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C455"/>
  <sheetViews>
    <sheetView zoomScale="120" zoomScaleNormal="120" workbookViewId="0">
      <selection activeCell="B17" sqref="B17"/>
    </sheetView>
  </sheetViews>
  <sheetFormatPr defaultColWidth="8.85546875" defaultRowHeight="12.75" x14ac:dyDescent="0.2"/>
  <cols>
    <col min="1" max="1" width="8.85546875" style="8"/>
    <col min="2" max="2" width="114.28515625" style="2" customWidth="1"/>
    <col min="3" max="3" width="7.28515625" style="2" customWidth="1"/>
    <col min="4" max="6" width="8.85546875" style="8"/>
    <col min="7" max="7" width="34.42578125" style="8" customWidth="1"/>
    <col min="8" max="8" width="25.5703125" style="8" customWidth="1"/>
    <col min="9" max="9" width="16.140625" style="8" customWidth="1"/>
    <col min="10" max="16384" width="8.85546875" style="8"/>
  </cols>
  <sheetData>
    <row r="1" spans="1:3" x14ac:dyDescent="0.2">
      <c r="A1" s="2"/>
      <c r="C1"/>
    </row>
    <row r="2" spans="1:3" x14ac:dyDescent="0.2">
      <c r="A2" s="2"/>
    </row>
    <row r="3" spans="1:3" ht="20.25" x14ac:dyDescent="0.3">
      <c r="A3"/>
      <c r="B3" s="50" t="s">
        <v>81</v>
      </c>
    </row>
    <row r="4" spans="1:3" ht="20.25" x14ac:dyDescent="0.3">
      <c r="A4" s="2"/>
      <c r="C4" s="6"/>
    </row>
    <row r="5" spans="1:3" x14ac:dyDescent="0.2">
      <c r="A5" s="2"/>
    </row>
    <row r="6" spans="1:3" x14ac:dyDescent="0.2">
      <c r="A6" s="2"/>
    </row>
    <row r="7" spans="1:3" ht="25.5" x14ac:dyDescent="0.2">
      <c r="A7" s="2"/>
      <c r="B7" s="51" t="s">
        <v>87</v>
      </c>
    </row>
    <row r="8" spans="1:3" ht="15" x14ac:dyDescent="0.2">
      <c r="A8" s="2"/>
      <c r="B8" s="1"/>
    </row>
    <row r="9" spans="1:3" ht="15" x14ac:dyDescent="0.2">
      <c r="A9" s="2"/>
      <c r="B9" s="53" t="s">
        <v>85</v>
      </c>
      <c r="C9" s="54"/>
    </row>
    <row r="10" spans="1:3" x14ac:dyDescent="0.2">
      <c r="A10" s="2"/>
      <c r="B10" s="55"/>
      <c r="C10" s="54"/>
    </row>
    <row r="11" spans="1:3" x14ac:dyDescent="0.2">
      <c r="A11" s="2"/>
      <c r="B11" s="56" t="s">
        <v>77</v>
      </c>
      <c r="C11" s="54"/>
    </row>
    <row r="12" spans="1:3" x14ac:dyDescent="0.2">
      <c r="A12" s="2"/>
      <c r="B12" s="55"/>
      <c r="C12" s="54"/>
    </row>
    <row r="13" spans="1:3" ht="14.25" x14ac:dyDescent="0.2">
      <c r="A13" s="2"/>
      <c r="B13" s="53" t="s">
        <v>82</v>
      </c>
      <c r="C13" s="57"/>
    </row>
    <row r="14" spans="1:3" x14ac:dyDescent="0.2">
      <c r="A14" s="2"/>
      <c r="B14" s="53"/>
      <c r="C14" s="57"/>
    </row>
    <row r="15" spans="1:3" ht="17.25" customHeight="1" x14ac:dyDescent="0.2">
      <c r="A15" s="2"/>
      <c r="B15" s="58" t="s">
        <v>79</v>
      </c>
      <c r="C15" s="57"/>
    </row>
    <row r="16" spans="1:3" x14ac:dyDescent="0.2">
      <c r="A16" s="2"/>
      <c r="B16" s="53"/>
      <c r="C16" s="57"/>
    </row>
    <row r="17" spans="1:3" ht="45" customHeight="1" x14ac:dyDescent="0.2">
      <c r="A17" s="52"/>
      <c r="B17" s="59" t="s">
        <v>83</v>
      </c>
      <c r="C17" s="57"/>
    </row>
    <row r="18" spans="1:3" x14ac:dyDescent="0.2">
      <c r="A18" s="2"/>
      <c r="B18" s="53"/>
      <c r="C18" s="57"/>
    </row>
    <row r="19" spans="1:3" ht="14.25" x14ac:dyDescent="0.2">
      <c r="A19" s="2"/>
      <c r="B19" s="58" t="s">
        <v>78</v>
      </c>
      <c r="C19" s="57"/>
    </row>
    <row r="20" spans="1:3" x14ac:dyDescent="0.2">
      <c r="A20" s="2"/>
      <c r="B20" s="53"/>
      <c r="C20" s="57"/>
    </row>
    <row r="21" spans="1:3" ht="27" x14ac:dyDescent="0.2">
      <c r="A21" s="2"/>
      <c r="B21" s="59" t="s">
        <v>84</v>
      </c>
      <c r="C21" s="54"/>
    </row>
    <row r="22" spans="1:3" x14ac:dyDescent="0.2">
      <c r="A22" s="2"/>
      <c r="B22" s="53"/>
      <c r="C22" s="54"/>
    </row>
    <row r="23" spans="1:3" ht="28.5" x14ac:dyDescent="0.2">
      <c r="A23" s="2"/>
      <c r="B23" s="58" t="s">
        <v>80</v>
      </c>
      <c r="C23" s="54"/>
    </row>
    <row r="24" spans="1:3" x14ac:dyDescent="0.2">
      <c r="A24" s="2"/>
      <c r="B24" s="53"/>
      <c r="C24" s="54"/>
    </row>
    <row r="25" spans="1:3" ht="28.5" x14ac:dyDescent="0.2">
      <c r="A25" s="2"/>
      <c r="B25" s="62" t="s">
        <v>108</v>
      </c>
      <c r="C25" s="54"/>
    </row>
    <row r="26" spans="1:3" x14ac:dyDescent="0.2">
      <c r="A26" s="2"/>
      <c r="B26" s="60"/>
      <c r="C26" s="54"/>
    </row>
    <row r="27" spans="1:3" x14ac:dyDescent="0.2">
      <c r="A27" s="2"/>
      <c r="B27" s="15" t="s">
        <v>86</v>
      </c>
      <c r="C27" s="54"/>
    </row>
    <row r="28" spans="1:3" x14ac:dyDescent="0.2">
      <c r="A28" s="2"/>
      <c r="B28" s="61"/>
      <c r="C28" s="54"/>
    </row>
    <row r="29" spans="1:3" x14ac:dyDescent="0.2">
      <c r="A29" s="2"/>
      <c r="B29" s="61" t="s">
        <v>107</v>
      </c>
      <c r="C29" s="54"/>
    </row>
    <row r="30" spans="1:3" ht="11.25" customHeight="1" x14ac:dyDescent="0.2">
      <c r="A30" s="2"/>
    </row>
    <row r="31" spans="1:3" x14ac:dyDescent="0.2">
      <c r="B31" s="8"/>
      <c r="C31" s="8"/>
    </row>
    <row r="32" spans="1:3" x14ac:dyDescent="0.2">
      <c r="B32" s="8"/>
      <c r="C32" s="8"/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pans="1:3" x14ac:dyDescent="0.2">
      <c r="B449" s="8"/>
      <c r="C449" s="8"/>
    </row>
    <row r="450" spans="1:3" x14ac:dyDescent="0.2">
      <c r="B450" s="8"/>
      <c r="C450" s="8"/>
    </row>
    <row r="451" spans="1:3" x14ac:dyDescent="0.2">
      <c r="B451" s="8"/>
      <c r="C451" s="8"/>
    </row>
    <row r="452" spans="1:3" x14ac:dyDescent="0.2">
      <c r="B452" s="8"/>
      <c r="C452" s="8"/>
    </row>
    <row r="453" spans="1:3" x14ac:dyDescent="0.2">
      <c r="B453" s="8"/>
      <c r="C453" s="8"/>
    </row>
    <row r="454" spans="1:3" x14ac:dyDescent="0.2">
      <c r="A454" s="19"/>
      <c r="B454" s="20"/>
    </row>
    <row r="455" spans="1:3" x14ac:dyDescent="0.2">
      <c r="B455" s="20"/>
      <c r="C455" s="4"/>
    </row>
  </sheetData>
  <sheetProtection sheet="1" objects="1" scenarios="1" selectLockedCells="1" selectUnlockedCells="1"/>
  <pageMargins left="0.7" right="0.7" top="0.75" bottom="0.75" header="0.3" footer="0.3"/>
  <pageSetup scale="95" orientation="landscape" r:id="rId1"/>
  <headerFoot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453"/>
  <sheetViews>
    <sheetView zoomScale="120" zoomScaleNormal="120" workbookViewId="0">
      <selection activeCell="F3" sqref="F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61</v>
      </c>
    </row>
    <row r="4" spans="1:7" ht="6" customHeight="1" x14ac:dyDescent="0.2">
      <c r="A4" s="2"/>
    </row>
    <row r="5" spans="1:7" ht="15" x14ac:dyDescent="0.2">
      <c r="A5" s="2"/>
      <c r="E5" s="1"/>
    </row>
    <row r="6" spans="1:7" ht="5.45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9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</sheetData>
  <sheetProtection sheet="1" objects="1" scenarios="1" selectLockedCells="1" selectUnlockedCells="1"/>
  <phoneticPr fontId="0" type="noConversion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453"/>
  <sheetViews>
    <sheetView view="pageBreakPreview" topLeftCell="B1" zoomScale="120" zoomScaleNormal="100" zoomScaleSheetLayoutView="120" workbookViewId="0">
      <selection activeCell="G3" sqref="G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71</v>
      </c>
    </row>
    <row r="4" spans="1:7" ht="6" customHeight="1" x14ac:dyDescent="0.2">
      <c r="A4" s="2"/>
    </row>
    <row r="5" spans="1:7" ht="15" customHeight="1" x14ac:dyDescent="0.2">
      <c r="A5" s="2"/>
      <c r="E5" s="1"/>
    </row>
    <row r="6" spans="1:7" ht="6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customHeight="1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5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</sheetData>
  <sheetProtection sheet="1" objects="1" scenarios="1" selectLockedCells="1" selectUnlockedCells="1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</sheetPr>
  <dimension ref="A1:O1944"/>
  <sheetViews>
    <sheetView zoomScale="120" zoomScaleNormal="120" workbookViewId="0">
      <selection activeCell="E14" sqref="E14"/>
    </sheetView>
  </sheetViews>
  <sheetFormatPr defaultColWidth="8.85546875" defaultRowHeight="12.75" x14ac:dyDescent="0.2"/>
  <cols>
    <col min="1" max="1" width="2.7109375" style="8" customWidth="1"/>
    <col min="2" max="2" width="12.42578125" style="2" customWidth="1"/>
    <col min="3" max="3" width="8.85546875" style="2"/>
    <col min="4" max="4" width="9" style="2" customWidth="1"/>
    <col min="5" max="5" width="22.85546875" style="2" customWidth="1"/>
    <col min="6" max="6" width="5.425781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bestFit="1" customWidth="1"/>
    <col min="11" max="11" width="8.85546875" style="2"/>
    <col min="12" max="12" width="10.5703125" style="2" customWidth="1"/>
    <col min="13" max="13" width="9.28515625" style="2" customWidth="1"/>
    <col min="14" max="14" width="8.85546875" style="8"/>
    <col min="15" max="15" width="14.140625" style="8" customWidth="1"/>
    <col min="16" max="16384" width="8.85546875" style="8"/>
  </cols>
  <sheetData>
    <row r="1" spans="1:15" x14ac:dyDescent="0.2">
      <c r="A1" s="2"/>
      <c r="N1" s="2"/>
      <c r="O1" s="27"/>
    </row>
    <row r="2" spans="1:15" ht="13.15" customHeight="1" x14ac:dyDescent="0.2">
      <c r="A2" s="2"/>
      <c r="B2" s="1"/>
      <c r="N2" s="2"/>
      <c r="O2" s="27"/>
    </row>
    <row r="3" spans="1:15" ht="20.25" x14ac:dyDescent="0.3">
      <c r="A3" s="2"/>
      <c r="B3" s="1"/>
      <c r="E3" s="9" t="s">
        <v>113</v>
      </c>
      <c r="N3" s="2"/>
      <c r="O3" s="27"/>
    </row>
    <row r="4" spans="1:15" x14ac:dyDescent="0.2">
      <c r="A4" s="2"/>
      <c r="N4" s="2"/>
      <c r="O4" s="27"/>
    </row>
    <row r="5" spans="1:15" x14ac:dyDescent="0.2">
      <c r="A5" s="2"/>
      <c r="N5" s="2"/>
      <c r="O5" s="27"/>
    </row>
    <row r="6" spans="1:15" ht="15.75" x14ac:dyDescent="0.25">
      <c r="A6" s="2"/>
      <c r="B6" s="13" t="s">
        <v>100</v>
      </c>
      <c r="C6" s="103" t="s">
        <v>101</v>
      </c>
      <c r="D6" s="103"/>
      <c r="E6" s="103"/>
      <c r="N6" s="2"/>
      <c r="O6" s="27"/>
    </row>
    <row r="7" spans="1:15" x14ac:dyDescent="0.2">
      <c r="A7" s="2"/>
      <c r="N7" s="2"/>
      <c r="O7" s="27"/>
    </row>
    <row r="8" spans="1:15" ht="15.75" x14ac:dyDescent="0.25">
      <c r="A8" s="2"/>
      <c r="B8" s="13" t="s">
        <v>4</v>
      </c>
      <c r="N8" s="2"/>
      <c r="O8" s="27"/>
    </row>
    <row r="9" spans="1:15" ht="10.15" customHeight="1" x14ac:dyDescent="0.2">
      <c r="A9" s="2"/>
      <c r="N9" s="2"/>
      <c r="O9" s="27"/>
    </row>
    <row r="10" spans="1:15" x14ac:dyDescent="0.2">
      <c r="A10" s="2"/>
      <c r="B10" s="31" t="s">
        <v>46</v>
      </c>
      <c r="C10" s="31"/>
      <c r="E10" s="32">
        <v>0</v>
      </c>
      <c r="N10" s="2"/>
      <c r="O10" s="27"/>
    </row>
    <row r="11" spans="1:15" x14ac:dyDescent="0.2">
      <c r="A11" s="2"/>
      <c r="B11" s="31" t="s">
        <v>57</v>
      </c>
      <c r="C11" s="31"/>
      <c r="E11" s="32">
        <v>0</v>
      </c>
      <c r="N11" s="2"/>
      <c r="O11" s="27"/>
    </row>
    <row r="12" spans="1:15" x14ac:dyDescent="0.2">
      <c r="A12" s="2"/>
      <c r="B12" s="31" t="s">
        <v>47</v>
      </c>
      <c r="C12" s="31"/>
      <c r="E12" s="32">
        <v>0</v>
      </c>
      <c r="N12" s="2"/>
      <c r="O12" s="27"/>
    </row>
    <row r="13" spans="1:15" x14ac:dyDescent="0.2">
      <c r="A13" s="2"/>
      <c r="B13" s="31" t="s">
        <v>74</v>
      </c>
      <c r="C13" s="31"/>
      <c r="E13" s="32">
        <v>0</v>
      </c>
      <c r="N13" s="2"/>
      <c r="O13" s="27"/>
    </row>
    <row r="14" spans="1:15" x14ac:dyDescent="0.2">
      <c r="A14" s="2"/>
      <c r="B14" s="31" t="s">
        <v>59</v>
      </c>
      <c r="C14" s="31"/>
      <c r="E14" s="33">
        <v>1</v>
      </c>
      <c r="N14" s="2"/>
      <c r="O14" s="27"/>
    </row>
    <row r="15" spans="1:15" x14ac:dyDescent="0.2">
      <c r="A15" s="2"/>
      <c r="B15" s="31" t="s">
        <v>116</v>
      </c>
      <c r="C15" s="31"/>
      <c r="E15" s="33" t="s">
        <v>119</v>
      </c>
      <c r="N15" s="2"/>
      <c r="O15" s="27"/>
    </row>
    <row r="16" spans="1:15" x14ac:dyDescent="0.2">
      <c r="A16" s="2"/>
      <c r="B16" s="31"/>
      <c r="E16" s="25"/>
      <c r="N16" s="27"/>
      <c r="O16" s="27"/>
    </row>
    <row r="17" spans="1:15" ht="15.75" x14ac:dyDescent="0.25">
      <c r="A17" s="2"/>
      <c r="B17" s="13" t="s">
        <v>50</v>
      </c>
      <c r="E17" s="26"/>
      <c r="N17" s="27"/>
      <c r="O17" s="27"/>
    </row>
    <row r="18" spans="1:15" x14ac:dyDescent="0.2">
      <c r="A18" s="2"/>
      <c r="F18" s="21">
        <f>LOOKUP(E19,'Form Data'!E10:F14,'Form Data'!F10:F14)</f>
        <v>1</v>
      </c>
      <c r="G18" s="23"/>
      <c r="N18" s="27"/>
      <c r="O18" s="27"/>
    </row>
    <row r="19" spans="1:15" x14ac:dyDescent="0.2">
      <c r="A19" s="2"/>
      <c r="B19" s="15" t="s">
        <v>66</v>
      </c>
      <c r="E19" s="28">
        <v>15</v>
      </c>
      <c r="F19" s="22">
        <f>E20</f>
        <v>5</v>
      </c>
      <c r="G19" s="69"/>
      <c r="N19" s="27"/>
      <c r="O19" s="27"/>
    </row>
    <row r="20" spans="1:15" x14ac:dyDescent="0.2">
      <c r="A20" s="2"/>
      <c r="B20" s="15" t="s">
        <v>67</v>
      </c>
      <c r="E20" s="28">
        <v>5</v>
      </c>
      <c r="F20" s="24">
        <f>LOOKUP(E21,'Form Data'!B453:C454,'Form Data'!C453:C454)</f>
        <v>1.25</v>
      </c>
      <c r="G20" s="70"/>
      <c r="N20"/>
      <c r="O20" s="27"/>
    </row>
    <row r="21" spans="1:15" x14ac:dyDescent="0.2">
      <c r="A21" s="2"/>
      <c r="B21" s="2" t="s">
        <v>6</v>
      </c>
      <c r="E21" s="29" t="s">
        <v>65</v>
      </c>
      <c r="F21" s="23"/>
      <c r="G21" s="23"/>
      <c r="N21" s="27"/>
      <c r="O21" s="27"/>
    </row>
    <row r="22" spans="1:15" x14ac:dyDescent="0.2">
      <c r="A22" s="2"/>
      <c r="F22" s="21"/>
      <c r="G22" s="23"/>
      <c r="I22" s="3" t="s">
        <v>51</v>
      </c>
      <c r="N22" s="27"/>
      <c r="O22" s="27"/>
    </row>
    <row r="23" spans="1:15" x14ac:dyDescent="0.2">
      <c r="A23" s="2"/>
      <c r="B23" s="3" t="s">
        <v>72</v>
      </c>
      <c r="F23" s="24">
        <f>VLOOKUP(E24,'Form Data'!G$457:H$475,2,0)</f>
        <v>1.2</v>
      </c>
      <c r="G23" s="70"/>
      <c r="I23" s="2" t="s">
        <v>0</v>
      </c>
      <c r="J23" s="16">
        <f>((3.1416)*(E13^2)/2)*E14</f>
        <v>0</v>
      </c>
      <c r="N23" s="2"/>
      <c r="O23" s="27"/>
    </row>
    <row r="24" spans="1:15" x14ac:dyDescent="0.2">
      <c r="A24" s="2"/>
      <c r="B24" s="2" t="s">
        <v>0</v>
      </c>
      <c r="E24" s="30" t="s">
        <v>9</v>
      </c>
      <c r="F24" s="24">
        <f>VLOOKUP(E25,'Form Data'!G$457:H$475,2,0)</f>
        <v>1.2</v>
      </c>
      <c r="G24" s="70"/>
      <c r="I24" s="2" t="s">
        <v>1</v>
      </c>
      <c r="J24" s="16">
        <f>E12*E10*E14</f>
        <v>0</v>
      </c>
      <c r="N24" s="2"/>
      <c r="O24" s="27"/>
    </row>
    <row r="25" spans="1:15" x14ac:dyDescent="0.2">
      <c r="A25" s="2"/>
      <c r="B25" s="2" t="s">
        <v>1</v>
      </c>
      <c r="E25" s="30" t="s">
        <v>9</v>
      </c>
      <c r="F25" s="24">
        <f>VLOOKUP(E26,'Form Data'!G$457:H$475,2,0)</f>
        <v>1.2</v>
      </c>
      <c r="G25" s="70"/>
      <c r="I25" s="2" t="s">
        <v>2</v>
      </c>
      <c r="J25" s="16">
        <f>E12*E11*E14</f>
        <v>0</v>
      </c>
      <c r="N25" s="2"/>
      <c r="O25" s="27"/>
    </row>
    <row r="26" spans="1:15" x14ac:dyDescent="0.2">
      <c r="A26" s="2"/>
      <c r="B26" s="2" t="s">
        <v>2</v>
      </c>
      <c r="E26" s="30" t="s">
        <v>9</v>
      </c>
      <c r="F26" s="24">
        <f>VLOOKUP(E27,'Form Data'!G$457:H$475,2,0)</f>
        <v>1.2</v>
      </c>
      <c r="G26" s="70"/>
      <c r="I26" s="2" t="s">
        <v>5</v>
      </c>
      <c r="J26" s="16">
        <f>3.1416*E13*E11*E14</f>
        <v>0</v>
      </c>
      <c r="N26" s="2"/>
      <c r="O26" s="27"/>
    </row>
    <row r="27" spans="1:15" ht="12.75" customHeight="1" x14ac:dyDescent="0.2">
      <c r="A27" s="2"/>
      <c r="B27" s="2" t="s">
        <v>5</v>
      </c>
      <c r="E27" s="30" t="s">
        <v>9</v>
      </c>
      <c r="F27" s="23"/>
      <c r="G27" s="23"/>
      <c r="I27" s="2" t="s">
        <v>3</v>
      </c>
      <c r="J27" s="16">
        <f xml:space="preserve"> (J23+J24)*E11</f>
        <v>0</v>
      </c>
      <c r="N27" s="2"/>
      <c r="O27" s="27"/>
    </row>
    <row r="28" spans="1:15" ht="12.75" customHeight="1" x14ac:dyDescent="0.2">
      <c r="A28" s="2"/>
      <c r="F28" s="23"/>
      <c r="G28" s="23"/>
      <c r="J28" s="18"/>
      <c r="N28" s="106" t="s">
        <v>109</v>
      </c>
      <c r="O28" s="104" t="s">
        <v>120</v>
      </c>
    </row>
    <row r="29" spans="1:15" x14ac:dyDescent="0.2">
      <c r="A29" s="2"/>
      <c r="B29" s="3" t="s">
        <v>73</v>
      </c>
      <c r="F29" s="21">
        <f>LOOKUP(E30,'Form Data'!$B$32:C$36,'Form Data'!C$32:C$36)</f>
        <v>1.02</v>
      </c>
      <c r="G29" s="23"/>
      <c r="I29" s="3" t="s">
        <v>55</v>
      </c>
      <c r="J29" s="18"/>
      <c r="N29" s="107"/>
      <c r="O29" s="105"/>
    </row>
    <row r="30" spans="1:15" ht="13.5" thickBot="1" x14ac:dyDescent="0.25">
      <c r="A30" s="2"/>
      <c r="B30" s="2" t="s">
        <v>0</v>
      </c>
      <c r="E30" s="30" t="s">
        <v>43</v>
      </c>
      <c r="F30" s="21">
        <f>LOOKUP(E31,'Form Data'!B$32:C$36,'Form Data'!C$32:C$36)</f>
        <v>1.02</v>
      </c>
      <c r="G30" s="23"/>
      <c r="I30" s="2" t="s">
        <v>0</v>
      </c>
      <c r="J30" s="16">
        <f xml:space="preserve"> (2*J23)*F23*F19*F29</f>
        <v>0</v>
      </c>
      <c r="N30" s="107"/>
      <c r="O30" s="105"/>
    </row>
    <row r="31" spans="1:15" x14ac:dyDescent="0.2">
      <c r="A31" s="2"/>
      <c r="B31" s="2" t="s">
        <v>1</v>
      </c>
      <c r="E31" s="30" t="s">
        <v>43</v>
      </c>
      <c r="F31" s="21">
        <f>LOOKUP(E32,'Form Data'!B$32:C$36,'Form Data'!C$32:C$36)</f>
        <v>1.02</v>
      </c>
      <c r="G31" s="23"/>
      <c r="I31" s="2" t="s">
        <v>1</v>
      </c>
      <c r="J31" s="16">
        <f xml:space="preserve"> (2*J24)*F24*F19*F30</f>
        <v>0</v>
      </c>
      <c r="L31" s="64" t="s">
        <v>89</v>
      </c>
      <c r="M31" s="44"/>
      <c r="N31" s="91">
        <f>ROUNDUP(J35/220000,0)</f>
        <v>0</v>
      </c>
      <c r="O31" s="79">
        <f>IFERROR((((($E$10*$E$11)/1000)/IF(E15="Propane Gas",30.58,25.74)*60)/N31),0)</f>
        <v>0</v>
      </c>
    </row>
    <row r="32" spans="1:15" x14ac:dyDescent="0.2">
      <c r="A32" s="2"/>
      <c r="B32" s="2" t="s">
        <v>2</v>
      </c>
      <c r="E32" s="30" t="s">
        <v>43</v>
      </c>
      <c r="F32" s="21">
        <f>LOOKUP(E33,'Form Data'!B$32:C$36,'Form Data'!C$32:C$36)</f>
        <v>1.02</v>
      </c>
      <c r="G32" s="23"/>
      <c r="I32" s="2" t="s">
        <v>2</v>
      </c>
      <c r="J32" s="16">
        <f>(2*J25)*F25*F19*F31</f>
        <v>0</v>
      </c>
      <c r="L32" s="75" t="s">
        <v>88</v>
      </c>
      <c r="M32" s="94"/>
      <c r="N32" s="92">
        <f>ROUNDUP(J35/120000,0)</f>
        <v>0</v>
      </c>
      <c r="O32" s="80">
        <f>IFERROR(((((($E$10*$E$11)/1000))/(IF(E15="Propane Gas",16.68,14.04))*60)/N32),0)</f>
        <v>0</v>
      </c>
    </row>
    <row r="33" spans="1:15" ht="13.5" thickBot="1" x14ac:dyDescent="0.25">
      <c r="A33" s="2"/>
      <c r="B33" s="2" t="s">
        <v>5</v>
      </c>
      <c r="E33" s="30" t="s">
        <v>43</v>
      </c>
      <c r="I33" s="2" t="s">
        <v>5</v>
      </c>
      <c r="J33" s="16">
        <f>J26*F26*F19*F32</f>
        <v>0</v>
      </c>
      <c r="L33" s="63" t="s">
        <v>99</v>
      </c>
      <c r="M33" s="45"/>
      <c r="N33" s="93">
        <f>ROUNDUP(J35/400000,0)</f>
        <v>0</v>
      </c>
      <c r="O33" s="81">
        <f>IFERROR(((((($E$10*$E$11)/1000))/(IF(E15="Propane Gas",55.6,46.8))*60)/N33),0)</f>
        <v>0</v>
      </c>
    </row>
    <row r="34" spans="1:15" ht="12.75" customHeight="1" x14ac:dyDescent="0.2">
      <c r="A34" s="2"/>
      <c r="I34" s="2" t="s">
        <v>62</v>
      </c>
      <c r="J34" s="16">
        <f xml:space="preserve"> 0.018*F20*J27*F19*F18</f>
        <v>0</v>
      </c>
      <c r="N34" s="95" t="s">
        <v>121</v>
      </c>
      <c r="O34" s="94"/>
    </row>
    <row r="35" spans="1:15" x14ac:dyDescent="0.2">
      <c r="A35" s="2"/>
      <c r="I35" s="12" t="s">
        <v>56</v>
      </c>
      <c r="J35" s="17">
        <f>SUM(J30:J34)</f>
        <v>0</v>
      </c>
      <c r="N35" s="2"/>
      <c r="O35" s="2"/>
    </row>
    <row r="36" spans="1:15" x14ac:dyDescent="0.2">
      <c r="A36" s="2"/>
      <c r="N36" s="2"/>
      <c r="O36" s="2"/>
    </row>
    <row r="37" spans="1:15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5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5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5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5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5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5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5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5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5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pans="2:2" s="8" customFormat="1" x14ac:dyDescent="0.2"/>
    <row r="1938" spans="2:2" s="8" customFormat="1" x14ac:dyDescent="0.2"/>
    <row r="1939" spans="2:2" s="8" customFormat="1" x14ac:dyDescent="0.2"/>
    <row r="1940" spans="2:2" s="8" customFormat="1" x14ac:dyDescent="0.2"/>
    <row r="1941" spans="2:2" s="8" customFormat="1" x14ac:dyDescent="0.2"/>
    <row r="1942" spans="2:2" s="8" customFormat="1" x14ac:dyDescent="0.2"/>
    <row r="1943" spans="2:2" s="8" customFormat="1" x14ac:dyDescent="0.2"/>
    <row r="1944" spans="2:2" x14ac:dyDescent="0.2">
      <c r="B1944" s="8"/>
    </row>
  </sheetData>
  <sheetProtection sheet="1" objects="1" scenarios="1" selectLockedCells="1"/>
  <mergeCells count="3">
    <mergeCell ref="C6:E6"/>
    <mergeCell ref="O28:O30"/>
    <mergeCell ref="N28:N30"/>
  </mergeCells>
  <phoneticPr fontId="0" type="noConversion"/>
  <dataValidations count="1">
    <dataValidation type="list" allowBlank="1" showInputMessage="1" showErrorMessage="1" sqref="E15" xr:uid="{5A38D501-8DB0-49F6-9314-1DDC567C5F69}">
      <formula1>"Natural Gas, Propane Gas"</formula1>
    </dataValidation>
  </dataValidations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 xml:space="preserve">&amp;LL. B. White Greenhouse Heating Calculations
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300-000000000000}">
          <x14:formula1>
            <xm:f>'Form Data'!$E$10:$E$14</xm:f>
          </x14:formula1>
          <xm:sqref>E19</xm:sqref>
        </x14:dataValidation>
        <x14:dataValidation type="list" allowBlank="1" showInputMessage="1" showErrorMessage="1" xr:uid="{AAA82510-6DB9-43B2-BFA1-AB86ED421EF1}">
          <x14:formula1>
            <xm:f>'Form Data'!$G$457:$G$475</xm:f>
          </x14:formula1>
          <xm:sqref>E25:E27</xm:sqref>
        </x14:dataValidation>
        <x14:dataValidation type="list" allowBlank="1" showInputMessage="1" showErrorMessage="1" xr:uid="{C9351616-4D07-4F62-A068-D6D98B661F77}">
          <x14:formula1>
            <xm:f>'Form Data'!$G$456:$G$480</xm:f>
          </x14:formula1>
          <xm:sqref>E24</xm:sqref>
        </x14:dataValidation>
        <x14:dataValidation type="list" allowBlank="1" showInputMessage="1" showErrorMessage="1" xr:uid="{00000000-0002-0000-0300-000001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300-000002000000}">
          <x14:formula1>
            <xm:f>'Form Data'!A454:A473</xm:f>
          </x14:formula1>
          <xm:sqref>E20</xm:sqref>
        </x14:dataValidation>
        <x14:dataValidation type="list" allowBlank="1" showInputMessage="1" showErrorMessage="1" xr:uid="{00000000-0002-0000-0300-000003000000}">
          <x14:formula1>
            <xm:f>'Form Data'!B453:B454</xm:f>
          </x14:formula1>
          <xm:sqref>E21</xm:sqref>
        </x14:dataValidation>
        <x14:dataValidation type="list" allowBlank="1" showInputMessage="1" showErrorMessage="1" xr:uid="{00000000-0002-0000-0300-000008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300-000009000000}">
          <x14:formula1>
            <xm:f>'Form Data'!B32:B36</xm:f>
          </x14:formula1>
          <xm:sqref>E32</xm:sqref>
        </x14:dataValidation>
        <x14:dataValidation type="list" allowBlank="1" showInputMessage="1" showErrorMessage="1" xr:uid="{00000000-0002-0000-0300-00000A000000}">
          <x14:formula1>
            <xm:f>'Form Data'!B32:B36</xm:f>
          </x14:formula1>
          <xm:sqref>E33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9900"/>
  </sheetPr>
  <dimension ref="A1:Q2134"/>
  <sheetViews>
    <sheetView zoomScale="120" zoomScaleNormal="120" workbookViewId="0">
      <selection activeCell="E19" sqref="E19"/>
    </sheetView>
  </sheetViews>
  <sheetFormatPr defaultColWidth="8.85546875" defaultRowHeight="12.75" x14ac:dyDescent="0.2"/>
  <cols>
    <col min="1" max="1" width="2.7109375" style="8" customWidth="1"/>
    <col min="2" max="2" width="12.42578125" style="2" customWidth="1"/>
    <col min="3" max="3" width="8.85546875" style="2" customWidth="1"/>
    <col min="4" max="4" width="9" style="2" customWidth="1"/>
    <col min="5" max="5" width="22.85546875" style="2" customWidth="1"/>
    <col min="6" max="6" width="4.710937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/>
    <col min="12" max="12" width="10.5703125" style="2" customWidth="1"/>
    <col min="13" max="13" width="9.28515625" style="2" customWidth="1"/>
    <col min="14" max="14" width="8.85546875" style="2"/>
    <col min="15" max="15" width="17.7109375" style="8" customWidth="1"/>
    <col min="16" max="16384" width="8.85546875" style="8"/>
  </cols>
  <sheetData>
    <row r="1" spans="1:15" x14ac:dyDescent="0.2">
      <c r="A1" s="2"/>
      <c r="O1" s="2"/>
    </row>
    <row r="2" spans="1:15" ht="13.15" customHeight="1" x14ac:dyDescent="0.2">
      <c r="A2" s="2"/>
      <c r="B2" s="1"/>
      <c r="O2" s="2"/>
    </row>
    <row r="3" spans="1:15" ht="20.25" x14ac:dyDescent="0.3">
      <c r="A3" s="2"/>
      <c r="B3" s="1"/>
      <c r="E3" s="9" t="s">
        <v>117</v>
      </c>
      <c r="O3" s="2"/>
    </row>
    <row r="4" spans="1:15" ht="13.15" customHeight="1" x14ac:dyDescent="0.2">
      <c r="A4" s="2"/>
      <c r="B4" s="1"/>
      <c r="O4" s="2"/>
    </row>
    <row r="5" spans="1:15" ht="13.15" customHeight="1" x14ac:dyDescent="0.2">
      <c r="A5" s="2"/>
      <c r="B5" s="1"/>
      <c r="O5" s="2"/>
    </row>
    <row r="6" spans="1:15" ht="15.75" customHeight="1" x14ac:dyDescent="0.25">
      <c r="A6" s="2"/>
      <c r="B6" s="13" t="s">
        <v>102</v>
      </c>
      <c r="C6" s="103" t="s">
        <v>101</v>
      </c>
      <c r="D6" s="103"/>
      <c r="E6" s="103"/>
      <c r="O6" s="2"/>
    </row>
    <row r="7" spans="1:15" x14ac:dyDescent="0.2">
      <c r="A7" s="2"/>
      <c r="O7" s="2"/>
    </row>
    <row r="8" spans="1:15" ht="15.75" x14ac:dyDescent="0.25">
      <c r="A8" s="2"/>
      <c r="B8" s="13" t="s">
        <v>4</v>
      </c>
      <c r="O8" s="2"/>
    </row>
    <row r="9" spans="1:15" ht="10.15" customHeight="1" x14ac:dyDescent="0.2">
      <c r="A9" s="2"/>
      <c r="O9" s="2"/>
    </row>
    <row r="10" spans="1:15" x14ac:dyDescent="0.2">
      <c r="A10" s="2"/>
      <c r="B10" s="31" t="s">
        <v>46</v>
      </c>
      <c r="C10" s="31"/>
      <c r="E10" s="32">
        <v>0</v>
      </c>
      <c r="O10" s="2"/>
    </row>
    <row r="11" spans="1:15" x14ac:dyDescent="0.2">
      <c r="A11" s="2"/>
      <c r="B11" s="31" t="s">
        <v>57</v>
      </c>
      <c r="C11" s="31"/>
      <c r="E11" s="32">
        <v>0</v>
      </c>
      <c r="J11" s="10"/>
      <c r="O11" s="2"/>
    </row>
    <row r="12" spans="1:15" x14ac:dyDescent="0.2">
      <c r="A12" s="2"/>
      <c r="B12" s="31" t="s">
        <v>47</v>
      </c>
      <c r="C12" s="31"/>
      <c r="E12" s="32">
        <v>0</v>
      </c>
      <c r="J12" s="10"/>
      <c r="O12" s="2"/>
    </row>
    <row r="13" spans="1:15" x14ac:dyDescent="0.2">
      <c r="A13" s="2"/>
      <c r="B13" s="31" t="s">
        <v>54</v>
      </c>
      <c r="C13" s="31"/>
      <c r="E13" s="32">
        <v>0</v>
      </c>
      <c r="J13" s="10"/>
      <c r="O13" s="2"/>
    </row>
    <row r="14" spans="1:15" x14ac:dyDescent="0.2">
      <c r="A14" s="2"/>
      <c r="B14" s="31" t="s">
        <v>59</v>
      </c>
      <c r="C14" s="31"/>
      <c r="E14" s="33">
        <v>1</v>
      </c>
      <c r="O14" s="2"/>
    </row>
    <row r="15" spans="1:15" x14ac:dyDescent="0.2">
      <c r="A15" s="2"/>
      <c r="B15" s="31" t="s">
        <v>116</v>
      </c>
      <c r="C15" s="31"/>
      <c r="D15" s="31"/>
      <c r="E15" s="33" t="s">
        <v>119</v>
      </c>
      <c r="O15" s="2"/>
    </row>
    <row r="16" spans="1:15" x14ac:dyDescent="0.2">
      <c r="A16" s="2"/>
      <c r="B16" s="31"/>
      <c r="E16" s="4"/>
      <c r="O16" s="2"/>
    </row>
    <row r="17" spans="1:15" ht="15.75" customHeight="1" x14ac:dyDescent="0.25">
      <c r="A17" s="2"/>
      <c r="B17" s="13" t="s">
        <v>50</v>
      </c>
      <c r="E17" s="4"/>
      <c r="O17" s="2"/>
    </row>
    <row r="18" spans="1:15" x14ac:dyDescent="0.2">
      <c r="A18" s="2"/>
      <c r="F18" s="21">
        <f>LOOKUP(E19,'Form Data'!E10:F14,'Form Data'!F10:F14)</f>
        <v>1</v>
      </c>
      <c r="G18" s="23"/>
      <c r="O18" s="2"/>
    </row>
    <row r="19" spans="1:15" x14ac:dyDescent="0.2">
      <c r="A19" s="2"/>
      <c r="B19" s="15" t="s">
        <v>66</v>
      </c>
      <c r="E19" s="36">
        <v>15</v>
      </c>
      <c r="F19" s="22">
        <f>E20</f>
        <v>5</v>
      </c>
      <c r="G19" s="69"/>
      <c r="O19" s="2"/>
    </row>
    <row r="20" spans="1:15" x14ac:dyDescent="0.2">
      <c r="A20" s="2"/>
      <c r="B20" s="15" t="s">
        <v>67</v>
      </c>
      <c r="E20" s="36">
        <v>5</v>
      </c>
      <c r="F20" s="24">
        <f>LOOKUP(E21,'Form Data'!B453:C454,'Form Data'!C453:C454)</f>
        <v>1.25</v>
      </c>
      <c r="G20" s="70"/>
      <c r="O20" s="2"/>
    </row>
    <row r="21" spans="1:15" x14ac:dyDescent="0.2">
      <c r="A21" s="2"/>
      <c r="B21" s="2" t="s">
        <v>6</v>
      </c>
      <c r="E21" s="37" t="s">
        <v>65</v>
      </c>
      <c r="O21" s="2"/>
    </row>
    <row r="22" spans="1:15" x14ac:dyDescent="0.2">
      <c r="A22" s="2"/>
      <c r="E22" s="38"/>
      <c r="I22" s="3" t="s">
        <v>51</v>
      </c>
      <c r="O22" s="2"/>
    </row>
    <row r="23" spans="1:15" x14ac:dyDescent="0.2">
      <c r="A23" s="2"/>
      <c r="B23" s="3" t="s">
        <v>72</v>
      </c>
      <c r="E23" s="38"/>
      <c r="F23" s="24">
        <f>VLOOKUP(E24,'Form Data'!G$457:H$475,2,0)</f>
        <v>1.2</v>
      </c>
      <c r="G23" s="70"/>
      <c r="H23" s="2" t="s">
        <v>20</v>
      </c>
      <c r="I23" s="2" t="s">
        <v>52</v>
      </c>
      <c r="J23" s="16">
        <f xml:space="preserve"> (E10*E12)*2</f>
        <v>0</v>
      </c>
      <c r="O23" s="2"/>
    </row>
    <row r="24" spans="1:15" x14ac:dyDescent="0.2">
      <c r="A24" s="2"/>
      <c r="B24" s="2" t="s">
        <v>48</v>
      </c>
      <c r="E24" s="39" t="s">
        <v>9</v>
      </c>
      <c r="F24" s="24">
        <f>VLOOKUP(E25,'Form Data'!G$457:H$475,2,0)</f>
        <v>1.2</v>
      </c>
      <c r="G24" s="70"/>
      <c r="I24" s="2" t="s">
        <v>49</v>
      </c>
      <c r="J24" s="16">
        <f>(E11*E12)*2</f>
        <v>0</v>
      </c>
      <c r="O24" s="2"/>
    </row>
    <row r="25" spans="1:15" x14ac:dyDescent="0.2">
      <c r="A25" s="2"/>
      <c r="B25" s="2" t="s">
        <v>49</v>
      </c>
      <c r="E25" s="39" t="s">
        <v>9</v>
      </c>
      <c r="F25" s="24">
        <f>VLOOKUP(E26,'Form Data'!G$457:H$475,2,0)</f>
        <v>1.2</v>
      </c>
      <c r="G25" s="70"/>
      <c r="I25" s="2" t="s">
        <v>1</v>
      </c>
      <c r="J25" s="16">
        <f>(( ((E10/2)^2+(E13^2))^0.5)*E11)*2</f>
        <v>0</v>
      </c>
      <c r="O25" s="2"/>
    </row>
    <row r="26" spans="1:15" x14ac:dyDescent="0.2">
      <c r="A26" s="2"/>
      <c r="B26" s="2" t="s">
        <v>1</v>
      </c>
      <c r="E26" s="39" t="s">
        <v>9</v>
      </c>
      <c r="F26" s="24">
        <f>VLOOKUP(E27,'Form Data'!G$457:H$475,2,0)</f>
        <v>1.2</v>
      </c>
      <c r="G26" s="70"/>
      <c r="I26" s="2" t="s">
        <v>2</v>
      </c>
      <c r="J26" s="16">
        <f>(0.5*(E10/2)*E13)*4</f>
        <v>0</v>
      </c>
      <c r="O26" s="2"/>
    </row>
    <row r="27" spans="1:15" x14ac:dyDescent="0.2">
      <c r="A27" s="2"/>
      <c r="B27" s="2" t="s">
        <v>2</v>
      </c>
      <c r="E27" s="39" t="s">
        <v>9</v>
      </c>
      <c r="I27" s="2" t="s">
        <v>53</v>
      </c>
      <c r="J27" s="16">
        <f>(((J23+J26)/2))*E11</f>
        <v>0</v>
      </c>
      <c r="O27" s="2"/>
    </row>
    <row r="28" spans="1:15" ht="12.75" customHeight="1" x14ac:dyDescent="0.2">
      <c r="A28" s="2"/>
      <c r="E28" s="38"/>
      <c r="J28" s="16"/>
      <c r="N28" s="110" t="s">
        <v>114</v>
      </c>
      <c r="O28" s="108" t="s">
        <v>122</v>
      </c>
    </row>
    <row r="29" spans="1:15" ht="12.75" customHeight="1" x14ac:dyDescent="0.2">
      <c r="A29" s="2"/>
      <c r="B29" s="3" t="s">
        <v>73</v>
      </c>
      <c r="E29" s="38"/>
      <c r="F29" s="21">
        <f>LOOKUP(E30,'Form Data'!B32:C36,'Form Data'!C32:C36)</f>
        <v>1.02</v>
      </c>
      <c r="G29" s="23"/>
      <c r="I29" s="3" t="s">
        <v>55</v>
      </c>
      <c r="N29" s="111"/>
      <c r="O29" s="109"/>
    </row>
    <row r="30" spans="1:15" ht="13.5" customHeight="1" thickBot="1" x14ac:dyDescent="0.25">
      <c r="A30" s="2"/>
      <c r="B30" s="2" t="s">
        <v>48</v>
      </c>
      <c r="E30" s="39" t="s">
        <v>43</v>
      </c>
      <c r="F30" s="21">
        <f>LOOKUP(E31,'Form Data'!B$32:C$36,'Form Data'!C$32:C$36)</f>
        <v>1.02</v>
      </c>
      <c r="G30" s="23"/>
      <c r="I30" s="2" t="s">
        <v>48</v>
      </c>
      <c r="J30" s="16">
        <f>(J23)*F23*F29*F19*E14</f>
        <v>0</v>
      </c>
      <c r="N30" s="111"/>
      <c r="O30" s="109"/>
    </row>
    <row r="31" spans="1:15" x14ac:dyDescent="0.2">
      <c r="A31" s="2"/>
      <c r="B31" s="2" t="s">
        <v>49</v>
      </c>
      <c r="E31" s="39" t="s">
        <v>43</v>
      </c>
      <c r="F31" s="21">
        <f>LOOKUP(E32,'Form Data'!B$32:C$36,'Form Data'!C$32:C$36)</f>
        <v>1.02</v>
      </c>
      <c r="G31" s="23"/>
      <c r="I31" s="2" t="s">
        <v>49</v>
      </c>
      <c r="J31" s="16">
        <f>(J24)*F24*F30*F19</f>
        <v>0</v>
      </c>
      <c r="L31" s="66" t="s">
        <v>110</v>
      </c>
      <c r="M31" s="46"/>
      <c r="N31" s="88">
        <f>ROUNDUP(J35/220000,0)</f>
        <v>0</v>
      </c>
      <c r="O31" s="47">
        <f>IFERROR((((($E$10*$E$11)/1000)/(IF(E15="Propane Gas",30.58,25.74))*60)/N31),0)</f>
        <v>0</v>
      </c>
    </row>
    <row r="32" spans="1:15" x14ac:dyDescent="0.2">
      <c r="A32" s="2"/>
      <c r="B32" s="2" t="s">
        <v>1</v>
      </c>
      <c r="E32" s="39" t="s">
        <v>43</v>
      </c>
      <c r="F32" s="21">
        <f>LOOKUP(E33,'Form Data'!B$32:C$36,'Form Data'!C$32:C$36)</f>
        <v>1.02</v>
      </c>
      <c r="G32" s="23"/>
      <c r="I32" s="2" t="s">
        <v>1</v>
      </c>
      <c r="J32" s="16">
        <f xml:space="preserve"> (J25)*F25*F31*F19*E14</f>
        <v>0</v>
      </c>
      <c r="L32" s="76" t="s">
        <v>111</v>
      </c>
      <c r="M32" s="83"/>
      <c r="N32" s="89">
        <f>ROUNDUP(J35/120000,0)</f>
        <v>0</v>
      </c>
      <c r="O32" s="77">
        <f>IFERROR((((($E$10*$E$11)/1000)/IF(E15="Propane Gas",16.68,14.04))*60)/N32,0)</f>
        <v>0</v>
      </c>
    </row>
    <row r="33" spans="1:17" ht="13.5" thickBot="1" x14ac:dyDescent="0.25">
      <c r="A33" s="2"/>
      <c r="B33" s="2" t="s">
        <v>2</v>
      </c>
      <c r="E33" s="39" t="s">
        <v>43</v>
      </c>
      <c r="I33" s="2" t="s">
        <v>2</v>
      </c>
      <c r="J33" s="16">
        <f>(J26)*F26*F32*F19*E14</f>
        <v>0</v>
      </c>
      <c r="L33" s="65" t="s">
        <v>112</v>
      </c>
      <c r="M33" s="48"/>
      <c r="N33" s="90">
        <f>ROUNDUP(J35/400000,0)</f>
        <v>0</v>
      </c>
      <c r="O33" s="49">
        <f>IFERROR((((($E$10*$E$11)/1000)/IF(E15="Propane Gas",55.6,46.8)*60)/N33),0)</f>
        <v>0</v>
      </c>
    </row>
    <row r="34" spans="1:17" ht="12.75" customHeight="1" x14ac:dyDescent="0.2">
      <c r="A34" s="2"/>
      <c r="I34" s="2" t="s">
        <v>62</v>
      </c>
      <c r="J34" s="16">
        <f>0.018*F20*J27*F19*F18</f>
        <v>0</v>
      </c>
      <c r="L34" s="84"/>
      <c r="M34" s="84"/>
      <c r="N34" s="96" t="s">
        <v>123</v>
      </c>
      <c r="O34" s="96"/>
    </row>
    <row r="35" spans="1:17" x14ac:dyDescent="0.2">
      <c r="A35" s="2"/>
      <c r="I35" s="12" t="s">
        <v>56</v>
      </c>
      <c r="J35" s="17">
        <f>SUM(J30:J34)</f>
        <v>0</v>
      </c>
      <c r="L35" s="84"/>
      <c r="M35" s="84"/>
      <c r="N35" s="84"/>
      <c r="O35" s="84"/>
      <c r="P35" s="82"/>
      <c r="Q35" s="82"/>
    </row>
    <row r="36" spans="1:17" x14ac:dyDescent="0.2">
      <c r="A36" s="2"/>
      <c r="L36" s="84"/>
      <c r="M36" s="84"/>
      <c r="N36" s="84"/>
      <c r="O36" s="84"/>
    </row>
    <row r="37" spans="1:17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7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7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7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7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7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7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7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7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7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7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7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pans="2:2" s="8" customFormat="1" x14ac:dyDescent="0.2"/>
    <row r="2130" spans="2:2" s="8" customFormat="1" x14ac:dyDescent="0.2"/>
    <row r="2131" spans="2:2" s="8" customFormat="1" x14ac:dyDescent="0.2"/>
    <row r="2132" spans="2:2" s="8" customFormat="1" x14ac:dyDescent="0.2"/>
    <row r="2133" spans="2:2" s="8" customFormat="1" x14ac:dyDescent="0.2"/>
    <row r="2134" spans="2:2" x14ac:dyDescent="0.2">
      <c r="B2134" s="8"/>
    </row>
  </sheetData>
  <sheetProtection sheet="1" objects="1" scenarios="1" selectLockedCells="1"/>
  <mergeCells count="3">
    <mergeCell ref="O28:O30"/>
    <mergeCell ref="N28:N30"/>
    <mergeCell ref="C6:E6"/>
  </mergeCells>
  <phoneticPr fontId="0" type="noConversion"/>
  <dataValidations count="1">
    <dataValidation type="list" allowBlank="1" showInputMessage="1" showErrorMessage="1" sqref="E15" xr:uid="{D16B446C-873C-49D6-8061-14904D73C4CA}">
      <formula1>"Natural Gas, Propane Gas"</formula1>
    </dataValidation>
  </dataValidations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>&amp;LL. B. White Greenhouse Heating Calculations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0000000}">
          <x14:formula1>
            <xm:f>'Form Data'!$E$10:$E$14</xm:f>
          </x14:formula1>
          <xm:sqref>E19</xm:sqref>
        </x14:dataValidation>
        <x14:dataValidation type="list" allowBlank="1" showInputMessage="1" showErrorMessage="1" xr:uid="{94932ECD-FAAE-43B2-A9ED-B9F0AE92670D}">
          <x14:formula1>
            <xm:f>'Form Data'!$G$456:$G$480</xm:f>
          </x14:formula1>
          <xm:sqref>E24:E27</xm:sqref>
        </x14:dataValidation>
        <x14:dataValidation type="list" allowBlank="1" showInputMessage="1" showErrorMessage="1" xr:uid="{00000000-0002-0000-0400-000001000000}">
          <x14:formula1>
            <xm:f>'Form Data'!B453:B454</xm:f>
          </x14:formula1>
          <xm:sqref>E21</xm:sqref>
        </x14:dataValidation>
        <x14:dataValidation type="list" allowBlank="1" showInputMessage="1" showErrorMessage="1" xr:uid="{00000000-0002-0000-0400-000002000000}">
          <x14:formula1>
            <xm:f>'Form Data'!A454:A473</xm:f>
          </x14:formula1>
          <xm:sqref>E20</xm:sqref>
        </x14:dataValidation>
        <x14:dataValidation type="list" allowBlank="1" showInputMessage="1" showErrorMessage="1" xr:uid="{00000000-0002-0000-0400-000003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400-000008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400-000009000000}">
          <x14:formula1>
            <xm:f>'Form Data'!B32:B36</xm:f>
          </x14:formula1>
          <xm:sqref>E32</xm:sqref>
        </x14:dataValidation>
        <x14:dataValidation type="list" allowBlank="1" showInputMessage="1" showErrorMessage="1" xr:uid="{00000000-0002-0000-0400-00000A000000}">
          <x14:formula1>
            <xm:f>'Form Data'!B32:B36</xm:f>
          </x14:formula1>
          <xm:sqref>E33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7030A0"/>
  </sheetPr>
  <dimension ref="A1:O2614"/>
  <sheetViews>
    <sheetView tabSelected="1" zoomScale="120" zoomScaleNormal="120" workbookViewId="0">
      <selection activeCell="C6" sqref="C6:E6"/>
    </sheetView>
  </sheetViews>
  <sheetFormatPr defaultColWidth="8.85546875" defaultRowHeight="12.75" x14ac:dyDescent="0.2"/>
  <cols>
    <col min="1" max="1" width="2.7109375" style="2" customWidth="1"/>
    <col min="2" max="2" width="12.42578125" style="2" customWidth="1"/>
    <col min="3" max="3" width="8.85546875" style="2"/>
    <col min="4" max="4" width="9" style="2" customWidth="1"/>
    <col min="5" max="5" width="22.85546875" style="2" customWidth="1"/>
    <col min="6" max="6" width="3.1406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 customWidth="1"/>
    <col min="12" max="12" width="10.5703125" style="2" customWidth="1"/>
    <col min="13" max="13" width="9.28515625" style="2" customWidth="1"/>
    <col min="14" max="14" width="8.85546875" style="2" customWidth="1"/>
    <col min="15" max="15" width="14.42578125" style="8" customWidth="1"/>
    <col min="16" max="16384" width="8.85546875" style="8"/>
  </cols>
  <sheetData>
    <row r="1" spans="2:15" x14ac:dyDescent="0.2">
      <c r="O1" s="2"/>
    </row>
    <row r="2" spans="2:15" x14ac:dyDescent="0.2">
      <c r="O2" s="2"/>
    </row>
    <row r="3" spans="2:15" ht="20.25" x14ac:dyDescent="0.3">
      <c r="E3" s="9" t="s">
        <v>118</v>
      </c>
      <c r="F3" s="9"/>
      <c r="G3" s="9"/>
      <c r="O3" s="2"/>
    </row>
    <row r="4" spans="2:15" x14ac:dyDescent="0.2">
      <c r="O4" s="2"/>
    </row>
    <row r="5" spans="2:15" x14ac:dyDescent="0.2">
      <c r="O5" s="2"/>
    </row>
    <row r="6" spans="2:15" ht="15.75" x14ac:dyDescent="0.25">
      <c r="B6" s="78" t="s">
        <v>100</v>
      </c>
      <c r="C6" s="103" t="s">
        <v>101</v>
      </c>
      <c r="D6" s="103"/>
      <c r="E6" s="103"/>
      <c r="O6" s="2"/>
    </row>
    <row r="7" spans="2:15" x14ac:dyDescent="0.2">
      <c r="O7" s="2"/>
    </row>
    <row r="8" spans="2:15" ht="15.75" x14ac:dyDescent="0.25">
      <c r="B8" s="13" t="s">
        <v>4</v>
      </c>
      <c r="O8" s="2"/>
    </row>
    <row r="9" spans="2:15" ht="9.75" customHeight="1" x14ac:dyDescent="0.2">
      <c r="O9" s="2"/>
    </row>
    <row r="10" spans="2:15" x14ac:dyDescent="0.2">
      <c r="B10" s="31" t="s">
        <v>46</v>
      </c>
      <c r="C10" s="31"/>
      <c r="E10" s="32">
        <v>0</v>
      </c>
      <c r="F10" s="11"/>
      <c r="G10" s="4"/>
      <c r="O10" s="2"/>
    </row>
    <row r="11" spans="2:15" x14ac:dyDescent="0.2">
      <c r="B11" s="31" t="s">
        <v>57</v>
      </c>
      <c r="C11" s="31"/>
      <c r="E11" s="32">
        <v>0</v>
      </c>
      <c r="F11" s="11"/>
      <c r="G11" s="4"/>
      <c r="K11" s="10"/>
      <c r="O11" s="2"/>
    </row>
    <row r="12" spans="2:15" x14ac:dyDescent="0.2">
      <c r="B12" s="31" t="s">
        <v>47</v>
      </c>
      <c r="C12" s="31"/>
      <c r="E12" s="32">
        <v>0</v>
      </c>
      <c r="F12" s="11"/>
      <c r="G12" s="4"/>
      <c r="K12" s="10"/>
      <c r="O12" s="2"/>
    </row>
    <row r="13" spans="2:15" x14ac:dyDescent="0.2">
      <c r="B13" s="31" t="s">
        <v>58</v>
      </c>
      <c r="C13" s="31"/>
      <c r="E13" s="32">
        <v>0</v>
      </c>
      <c r="F13" s="11"/>
      <c r="G13" s="4"/>
      <c r="K13" s="10"/>
      <c r="O13" s="2"/>
    </row>
    <row r="14" spans="2:15" x14ac:dyDescent="0.2">
      <c r="B14" s="31" t="s">
        <v>59</v>
      </c>
      <c r="C14" s="31"/>
      <c r="E14" s="33">
        <v>1</v>
      </c>
      <c r="F14" s="11"/>
      <c r="G14" s="4"/>
      <c r="O14" s="2"/>
    </row>
    <row r="15" spans="2:15" x14ac:dyDescent="0.2">
      <c r="B15" s="31" t="s">
        <v>116</v>
      </c>
      <c r="E15" s="33" t="s">
        <v>119</v>
      </c>
      <c r="F15" s="11"/>
      <c r="G15" s="4"/>
      <c r="O15" s="2"/>
    </row>
    <row r="16" spans="2:15" x14ac:dyDescent="0.2">
      <c r="B16" s="31"/>
      <c r="E16" s="4"/>
      <c r="F16" s="4"/>
      <c r="G16" s="4"/>
      <c r="O16" s="2"/>
    </row>
    <row r="17" spans="2:15" ht="15.75" customHeight="1" x14ac:dyDescent="0.25">
      <c r="B17" s="13" t="s">
        <v>50</v>
      </c>
      <c r="E17" s="4"/>
      <c r="F17" s="4"/>
      <c r="G17" s="4"/>
      <c r="O17" s="2"/>
    </row>
    <row r="18" spans="2:15" x14ac:dyDescent="0.2">
      <c r="F18" s="21">
        <f>LOOKUP(E19,'Form Data'!E10:F14,'Form Data'!F10:F14)</f>
        <v>1</v>
      </c>
      <c r="G18" s="23"/>
      <c r="O18" s="2"/>
    </row>
    <row r="19" spans="2:15" x14ac:dyDescent="0.2">
      <c r="B19" s="15" t="s">
        <v>66</v>
      </c>
      <c r="E19" s="40">
        <v>15</v>
      </c>
      <c r="F19" s="22">
        <f>E20</f>
        <v>40</v>
      </c>
      <c r="G19" s="69"/>
      <c r="O19" s="2"/>
    </row>
    <row r="20" spans="2:15" x14ac:dyDescent="0.2">
      <c r="B20" s="15" t="s">
        <v>67</v>
      </c>
      <c r="E20" s="40">
        <v>40</v>
      </c>
      <c r="F20" s="24">
        <f>LOOKUP(E21,'Form Data'!B453:C454,'Form Data'!C453:C454)</f>
        <v>1.25</v>
      </c>
      <c r="G20" s="70"/>
      <c r="O20" s="2"/>
    </row>
    <row r="21" spans="2:15" x14ac:dyDescent="0.2">
      <c r="B21" s="2" t="s">
        <v>6</v>
      </c>
      <c r="E21" s="41" t="s">
        <v>65</v>
      </c>
      <c r="O21" s="2"/>
    </row>
    <row r="22" spans="2:15" x14ac:dyDescent="0.2">
      <c r="E22" s="42"/>
      <c r="I22" s="3" t="s">
        <v>51</v>
      </c>
      <c r="O22" s="2"/>
    </row>
    <row r="23" spans="2:15" x14ac:dyDescent="0.2">
      <c r="B23" s="3" t="s">
        <v>72</v>
      </c>
      <c r="E23" s="42"/>
      <c r="F23" s="24">
        <f>VLOOKUP(E24,'Form Data'!G$457:H$475,2,0)</f>
        <v>1.2</v>
      </c>
      <c r="G23" s="70"/>
      <c r="I23" s="2" t="s">
        <v>52</v>
      </c>
      <c r="J23" s="16">
        <f>(E10*E12)*2*E14</f>
        <v>0</v>
      </c>
      <c r="O23" s="2"/>
    </row>
    <row r="24" spans="2:15" x14ac:dyDescent="0.2">
      <c r="B24" s="2" t="s">
        <v>48</v>
      </c>
      <c r="E24" s="43" t="s">
        <v>9</v>
      </c>
      <c r="F24" s="24">
        <f>VLOOKUP(E25,'Form Data'!G$457:H$475,2,0)</f>
        <v>1.2</v>
      </c>
      <c r="G24" s="70"/>
      <c r="I24" s="2" t="s">
        <v>49</v>
      </c>
      <c r="J24" s="16">
        <f>(E11*E12)*2</f>
        <v>0</v>
      </c>
      <c r="O24" s="2"/>
    </row>
    <row r="25" spans="2:15" x14ac:dyDescent="0.2">
      <c r="B25" s="2" t="s">
        <v>49</v>
      </c>
      <c r="E25" s="43" t="s">
        <v>9</v>
      </c>
      <c r="F25" s="24">
        <f>VLOOKUP(E26,'Form Data'!G$457:H$475,2,0)</f>
        <v>1.2</v>
      </c>
      <c r="G25" s="70"/>
      <c r="I25" s="2" t="s">
        <v>1</v>
      </c>
      <c r="J25" s="16">
        <f>(0.33*((8*(((E10/2)^2)+(E13^2))^0.5)-E10))*E11*E14</f>
        <v>0</v>
      </c>
      <c r="O25" s="2"/>
    </row>
    <row r="26" spans="2:15" x14ac:dyDescent="0.2">
      <c r="B26" s="2" t="s">
        <v>1</v>
      </c>
      <c r="E26" s="43" t="s">
        <v>9</v>
      </c>
      <c r="F26" s="24">
        <f>VLOOKUP(E27,'Form Data'!G$457:H$475,2,0)</f>
        <v>1.2</v>
      </c>
      <c r="G26" s="70"/>
      <c r="I26" s="2" t="s">
        <v>2</v>
      </c>
      <c r="J26" s="16">
        <f>(0.5*(E10/2)*E13)*4*E14</f>
        <v>0</v>
      </c>
      <c r="O26" s="2"/>
    </row>
    <row r="27" spans="2:15" x14ac:dyDescent="0.2">
      <c r="B27" s="2" t="s">
        <v>2</v>
      </c>
      <c r="E27" s="43" t="s">
        <v>9</v>
      </c>
      <c r="I27" s="2" t="s">
        <v>53</v>
      </c>
      <c r="J27" s="16">
        <f>((J23+J26)/2)*E11</f>
        <v>0</v>
      </c>
      <c r="N27" s="114" t="s">
        <v>115</v>
      </c>
      <c r="O27" s="112" t="s">
        <v>124</v>
      </c>
    </row>
    <row r="28" spans="2:15" ht="13.15" customHeight="1" x14ac:dyDescent="0.2">
      <c r="C28" s="14"/>
      <c r="E28" s="42"/>
      <c r="N28" s="114"/>
      <c r="O28" s="112"/>
    </row>
    <row r="29" spans="2:15" x14ac:dyDescent="0.2">
      <c r="B29" s="3" t="s">
        <v>73</v>
      </c>
      <c r="E29" s="42"/>
      <c r="F29" s="21">
        <f>LOOKUP(E30,'Form Data'!B32:C36,'Form Data'!C32:C36)</f>
        <v>1.02</v>
      </c>
      <c r="G29" s="23"/>
      <c r="I29" s="3" t="s">
        <v>55</v>
      </c>
      <c r="N29" s="114"/>
      <c r="O29" s="112"/>
    </row>
    <row r="30" spans="2:15" ht="13.5" thickBot="1" x14ac:dyDescent="0.25">
      <c r="B30" s="2" t="s">
        <v>48</v>
      </c>
      <c r="E30" s="43" t="s">
        <v>43</v>
      </c>
      <c r="F30" s="21">
        <f>LOOKUP(E31,'Form Data'!B$32:C$36,'Form Data'!C$32:C$36)</f>
        <v>1.02</v>
      </c>
      <c r="G30" s="23"/>
      <c r="I30" s="2" t="s">
        <v>48</v>
      </c>
      <c r="J30" s="16">
        <f>(J23)*F23*F29*F19</f>
        <v>0</v>
      </c>
      <c r="N30" s="115"/>
      <c r="O30" s="113"/>
    </row>
    <row r="31" spans="2:15" x14ac:dyDescent="0.2">
      <c r="B31" s="2" t="s">
        <v>49</v>
      </c>
      <c r="E31" s="43" t="s">
        <v>43</v>
      </c>
      <c r="F31" s="21">
        <f>LOOKUP(E32,'Form Data'!B$32:C$36,'Form Data'!C$32:C$36)</f>
        <v>1.02</v>
      </c>
      <c r="G31" s="23"/>
      <c r="I31" s="2" t="s">
        <v>49</v>
      </c>
      <c r="J31" s="16">
        <f>(J24)*F24*F30*F19</f>
        <v>0</v>
      </c>
      <c r="L31" s="68" t="s">
        <v>89</v>
      </c>
      <c r="M31" s="86"/>
      <c r="N31" s="97">
        <f>ROUNDUP(J35/220000,0)</f>
        <v>0</v>
      </c>
      <c r="O31" s="98">
        <f>IFERROR((((($E$10*$E$11)/1000)/IF(E15="Propane Gas",30.58,25.74))*60)/N31,0)</f>
        <v>0</v>
      </c>
    </row>
    <row r="32" spans="2:15" x14ac:dyDescent="0.2">
      <c r="B32" s="2" t="s">
        <v>1</v>
      </c>
      <c r="E32" s="43" t="s">
        <v>43</v>
      </c>
      <c r="F32" s="21">
        <f>LOOKUP(E33,'Form Data'!B$32:C$36,'Form Data'!C$32:C$36)</f>
        <v>1.02</v>
      </c>
      <c r="G32" s="23"/>
      <c r="I32" s="2" t="s">
        <v>1</v>
      </c>
      <c r="J32" s="16">
        <f xml:space="preserve"> (J25)*F25*F31*F19</f>
        <v>0</v>
      </c>
      <c r="L32" s="74" t="s">
        <v>88</v>
      </c>
      <c r="M32" s="85"/>
      <c r="N32" s="99">
        <f>ROUNDUP(J35/120000,0)</f>
        <v>0</v>
      </c>
      <c r="O32" s="100">
        <f>IFERROR((((($E$10*$E$11)/1000)/IF(E15="Propane Gas",16.68,14.04)*60)/N32),0)</f>
        <v>0</v>
      </c>
    </row>
    <row r="33" spans="1:15" ht="13.5" thickBot="1" x14ac:dyDescent="0.25">
      <c r="B33" s="2" t="s">
        <v>2</v>
      </c>
      <c r="E33" s="43" t="s">
        <v>43</v>
      </c>
      <c r="I33" s="2" t="s">
        <v>2</v>
      </c>
      <c r="J33" s="16">
        <f>(J26)*F26*F32*F19</f>
        <v>0</v>
      </c>
      <c r="L33" s="67" t="s">
        <v>99</v>
      </c>
      <c r="M33" s="87"/>
      <c r="N33" s="101">
        <f>ROUNDUP(J35/400000,0)</f>
        <v>0</v>
      </c>
      <c r="O33" s="102">
        <f>IFERROR((((($E$10*$E$11)/1000)/IF(E15="Propane Gas",55.6,46.8))*60)/N33,0)</f>
        <v>0</v>
      </c>
    </row>
    <row r="34" spans="1:15" x14ac:dyDescent="0.2">
      <c r="I34" s="2" t="s">
        <v>62</v>
      </c>
      <c r="J34" s="16">
        <f>0.018*F20*J27*F19*F18</f>
        <v>0</v>
      </c>
      <c r="N34" s="85" t="s">
        <v>123</v>
      </c>
      <c r="O34" s="85"/>
    </row>
    <row r="35" spans="1:15" x14ac:dyDescent="0.2">
      <c r="I35" s="12" t="s">
        <v>56</v>
      </c>
      <c r="J35" s="17">
        <f>SUM(J30:J34)</f>
        <v>0</v>
      </c>
      <c r="O35" s="2"/>
    </row>
    <row r="36" spans="1:15" x14ac:dyDescent="0.2">
      <c r="O36" s="2"/>
    </row>
    <row r="37" spans="1:1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pans="2:2" s="8" customFormat="1" x14ac:dyDescent="0.2"/>
    <row r="2610" spans="2:2" s="8" customFormat="1" x14ac:dyDescent="0.2"/>
    <row r="2611" spans="2:2" s="8" customFormat="1" x14ac:dyDescent="0.2"/>
    <row r="2612" spans="2:2" s="8" customFormat="1" x14ac:dyDescent="0.2"/>
    <row r="2613" spans="2:2" s="8" customFormat="1" x14ac:dyDescent="0.2"/>
    <row r="2614" spans="2:2" x14ac:dyDescent="0.2">
      <c r="B2614" s="8"/>
    </row>
  </sheetData>
  <sheetProtection sheet="1" objects="1" scenarios="1" selectLockedCells="1"/>
  <mergeCells count="3">
    <mergeCell ref="C6:E6"/>
    <mergeCell ref="O27:O30"/>
    <mergeCell ref="N27:N30"/>
  </mergeCells>
  <phoneticPr fontId="0" type="noConversion"/>
  <dataValidations count="1">
    <dataValidation type="list" allowBlank="1" showInputMessage="1" showErrorMessage="1" sqref="E15" xr:uid="{49C5619F-CE06-4673-A2E4-11C5663A64A3}">
      <formula1>"Natural Gas, Propane Gas"</formula1>
    </dataValidation>
  </dataValidations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>&amp;LL. B. White Greenhouse Heating Calculations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500-000000000000}">
          <x14:formula1>
            <xm:f>'Form Data'!$E$10:$E$14</xm:f>
          </x14:formula1>
          <xm:sqref>E19</xm:sqref>
        </x14:dataValidation>
        <x14:dataValidation type="list" allowBlank="1" showInputMessage="1" showErrorMessage="1" xr:uid="{7A22C579-84B2-4D3F-B052-6F5A478AB833}">
          <x14:formula1>
            <xm:f>'Form Data'!$G$456:$G$480</xm:f>
          </x14:formula1>
          <xm:sqref>E24:E27</xm:sqref>
        </x14:dataValidation>
        <x14:dataValidation type="list" allowBlank="1" showInputMessage="1" showErrorMessage="1" xr:uid="{00000000-0002-0000-0500-000003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500-000004000000}">
          <x14:formula1>
            <xm:f>'Form Data'!A454:A473</xm:f>
          </x14:formula1>
          <xm:sqref>E20</xm:sqref>
        </x14:dataValidation>
        <x14:dataValidation type="list" allowBlank="1" showInputMessage="1" showErrorMessage="1" xr:uid="{00000000-0002-0000-0500-000005000000}">
          <x14:formula1>
            <xm:f>'Form Data'!B453:B454</xm:f>
          </x14:formula1>
          <xm:sqref>E21</xm:sqref>
        </x14:dataValidation>
        <x14:dataValidation type="list" allowBlank="1" showInputMessage="1" showErrorMessage="1" xr:uid="{00000000-0002-0000-0500-000008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500-000009000000}">
          <x14:formula1>
            <xm:f>'Form Data'!B32:B36</xm:f>
          </x14:formula1>
          <xm:sqref>E32</xm:sqref>
        </x14:dataValidation>
        <x14:dataValidation type="list" allowBlank="1" showInputMessage="1" showErrorMessage="1" xr:uid="{00000000-0002-0000-0500-00000A000000}">
          <x14:formula1>
            <xm:f>'Form Data'!B32:B36</xm:f>
          </x14:formula1>
          <xm:sqref>E33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476"/>
  <sheetViews>
    <sheetView topLeftCell="A446" zoomScale="110" zoomScaleNormal="110" zoomScaleSheetLayoutView="100" workbookViewId="0">
      <selection activeCell="G456" sqref="G456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75</v>
      </c>
    </row>
    <row r="4" spans="1:7" ht="6" customHeight="1" x14ac:dyDescent="0.2">
      <c r="A4" s="2"/>
    </row>
    <row r="5" spans="1:7" x14ac:dyDescent="0.2">
      <c r="A5" s="2"/>
    </row>
    <row r="6" spans="1:7" ht="5.25" customHeight="1" x14ac:dyDescent="0.2">
      <c r="A6" s="2"/>
    </row>
    <row r="7" spans="1:7" ht="15" x14ac:dyDescent="0.2">
      <c r="A7" s="2"/>
      <c r="B7" s="1" t="s">
        <v>69</v>
      </c>
      <c r="E7" s="1" t="s">
        <v>39</v>
      </c>
    </row>
    <row r="8" spans="1:7" x14ac:dyDescent="0.2">
      <c r="A8" s="2"/>
      <c r="B8" s="3"/>
    </row>
    <row r="9" spans="1:7" x14ac:dyDescent="0.2">
      <c r="A9" s="2"/>
      <c r="B9" s="34" t="s">
        <v>68</v>
      </c>
      <c r="C9" s="2" t="s">
        <v>27</v>
      </c>
      <c r="E9" s="7" t="s">
        <v>28</v>
      </c>
      <c r="F9" s="7" t="s">
        <v>29</v>
      </c>
    </row>
    <row r="10" spans="1:7" x14ac:dyDescent="0.2">
      <c r="A10" s="2"/>
      <c r="B10" s="35" t="s">
        <v>13</v>
      </c>
      <c r="C10" s="4">
        <v>1.2</v>
      </c>
      <c r="E10" s="2">
        <v>15</v>
      </c>
      <c r="F10" s="4">
        <v>1</v>
      </c>
      <c r="G10" s="5" t="s">
        <v>45</v>
      </c>
    </row>
    <row r="11" spans="1:7" x14ac:dyDescent="0.2">
      <c r="A11" s="2"/>
      <c r="B11" s="35" t="s">
        <v>10</v>
      </c>
      <c r="C11" s="4">
        <v>0.7</v>
      </c>
      <c r="E11" s="2">
        <v>20</v>
      </c>
      <c r="F11" s="2">
        <v>1.04</v>
      </c>
    </row>
    <row r="12" spans="1:7" x14ac:dyDescent="0.2">
      <c r="A12" s="2"/>
      <c r="B12" s="35" t="s">
        <v>12</v>
      </c>
      <c r="C12" s="4">
        <v>0.6</v>
      </c>
      <c r="E12" s="2">
        <v>25</v>
      </c>
      <c r="F12" s="2">
        <v>1.08</v>
      </c>
    </row>
    <row r="13" spans="1:7" x14ac:dyDescent="0.2">
      <c r="A13" s="2"/>
      <c r="B13" s="35" t="s">
        <v>14</v>
      </c>
      <c r="C13" s="4">
        <v>1</v>
      </c>
      <c r="E13" s="2">
        <v>30</v>
      </c>
      <c r="F13" s="2">
        <v>1.1200000000000001</v>
      </c>
    </row>
    <row r="14" spans="1:7" x14ac:dyDescent="0.2">
      <c r="A14" s="2"/>
      <c r="B14" s="35" t="s">
        <v>8</v>
      </c>
      <c r="C14" s="4">
        <v>0.65</v>
      </c>
      <c r="E14" s="2">
        <v>35</v>
      </c>
      <c r="F14" s="2">
        <v>1.1599999999999999</v>
      </c>
    </row>
    <row r="15" spans="1:7" x14ac:dyDescent="0.2">
      <c r="A15" s="2"/>
      <c r="B15" s="35" t="s">
        <v>7</v>
      </c>
      <c r="C15" s="4">
        <v>1.1299999999999999</v>
      </c>
    </row>
    <row r="16" spans="1:7" x14ac:dyDescent="0.2">
      <c r="A16" s="2"/>
      <c r="B16" s="35" t="s">
        <v>9</v>
      </c>
      <c r="C16" s="4">
        <v>1.2</v>
      </c>
    </row>
    <row r="17" spans="1:6" x14ac:dyDescent="0.2">
      <c r="A17" s="2"/>
      <c r="B17" s="35" t="s">
        <v>11</v>
      </c>
      <c r="C17" s="4">
        <v>0.85</v>
      </c>
    </row>
    <row r="18" spans="1:6" ht="15" x14ac:dyDescent="0.2">
      <c r="A18" s="2"/>
      <c r="B18" s="34" t="s">
        <v>70</v>
      </c>
      <c r="E18" s="1" t="s">
        <v>30</v>
      </c>
    </row>
    <row r="19" spans="1:6" x14ac:dyDescent="0.2">
      <c r="A19" s="2"/>
      <c r="B19" s="35" t="s">
        <v>24</v>
      </c>
      <c r="C19" s="2">
        <v>1.1499999999999999</v>
      </c>
    </row>
    <row r="20" spans="1:6" x14ac:dyDescent="0.2">
      <c r="A20" s="2"/>
      <c r="B20" s="35" t="s">
        <v>60</v>
      </c>
      <c r="C20" s="2">
        <v>0.21</v>
      </c>
      <c r="E20" s="3" t="s">
        <v>31</v>
      </c>
      <c r="F20" s="3"/>
    </row>
    <row r="21" spans="1:6" x14ac:dyDescent="0.2">
      <c r="A21" s="2"/>
      <c r="B21" s="35" t="s">
        <v>23</v>
      </c>
      <c r="C21" s="2">
        <v>0.14000000000000001</v>
      </c>
      <c r="E21" s="2" t="s">
        <v>32</v>
      </c>
    </row>
    <row r="22" spans="1:6" x14ac:dyDescent="0.2">
      <c r="A22" s="2"/>
      <c r="B22" s="35" t="s">
        <v>19</v>
      </c>
      <c r="C22" s="2">
        <v>0.64</v>
      </c>
      <c r="E22" s="2" t="s">
        <v>36</v>
      </c>
    </row>
    <row r="23" spans="1:6" x14ac:dyDescent="0.2">
      <c r="A23" s="2"/>
      <c r="B23" s="35" t="s">
        <v>15</v>
      </c>
      <c r="C23" s="2">
        <v>0.51</v>
      </c>
    </row>
    <row r="24" spans="1:6" x14ac:dyDescent="0.2">
      <c r="A24" s="2"/>
      <c r="B24" s="35" t="s">
        <v>21</v>
      </c>
      <c r="C24" s="2">
        <v>0.18</v>
      </c>
      <c r="E24" s="3" t="s">
        <v>33</v>
      </c>
      <c r="F24" s="3"/>
    </row>
    <row r="25" spans="1:6" x14ac:dyDescent="0.2">
      <c r="A25" s="2"/>
      <c r="B25" s="35" t="s">
        <v>22</v>
      </c>
      <c r="C25" s="2">
        <v>0.13</v>
      </c>
      <c r="E25" s="2" t="s">
        <v>34</v>
      </c>
    </row>
    <row r="26" spans="1:6" x14ac:dyDescent="0.2">
      <c r="A26" s="2"/>
      <c r="B26" s="35" t="s">
        <v>18</v>
      </c>
      <c r="C26" s="2">
        <v>0.57999999999999996</v>
      </c>
      <c r="E26" s="2" t="s">
        <v>35</v>
      </c>
    </row>
    <row r="27" spans="1:6" x14ac:dyDescent="0.2">
      <c r="A27" s="2"/>
      <c r="B27" s="35" t="s">
        <v>16</v>
      </c>
      <c r="C27" s="2">
        <v>1.1499999999999999</v>
      </c>
    </row>
    <row r="28" spans="1:6" x14ac:dyDescent="0.2">
      <c r="A28" s="2"/>
      <c r="B28" s="35" t="s">
        <v>17</v>
      </c>
      <c r="C28" s="2">
        <v>0.75</v>
      </c>
      <c r="E28" s="2" t="s">
        <v>37</v>
      </c>
    </row>
    <row r="29" spans="1:6" x14ac:dyDescent="0.2">
      <c r="A29" s="2"/>
      <c r="E29" s="2" t="s">
        <v>38</v>
      </c>
    </row>
    <row r="30" spans="1:6" ht="15" x14ac:dyDescent="0.2">
      <c r="A30" s="2"/>
      <c r="B30" s="1" t="s">
        <v>76</v>
      </c>
    </row>
    <row r="31" spans="1:6" x14ac:dyDescent="0.2">
      <c r="A31" s="2"/>
    </row>
    <row r="32" spans="1:6" x14ac:dyDescent="0.2">
      <c r="A32" s="2"/>
      <c r="B32" s="2" t="s">
        <v>42</v>
      </c>
      <c r="C32" s="2">
        <v>1.03</v>
      </c>
    </row>
    <row r="33" spans="1:7" x14ac:dyDescent="0.2">
      <c r="A33" s="2"/>
      <c r="B33" s="2" t="s">
        <v>43</v>
      </c>
      <c r="C33" s="2">
        <v>1.02</v>
      </c>
    </row>
    <row r="34" spans="1:7" x14ac:dyDescent="0.2">
      <c r="A34" s="2"/>
      <c r="B34" s="2" t="s">
        <v>44</v>
      </c>
      <c r="C34" s="4">
        <v>1</v>
      </c>
    </row>
    <row r="35" spans="1:7" x14ac:dyDescent="0.2">
      <c r="A35" s="2"/>
      <c r="B35" s="2" t="s">
        <v>40</v>
      </c>
      <c r="C35" s="2">
        <v>1.08</v>
      </c>
    </row>
    <row r="36" spans="1:7" x14ac:dyDescent="0.2">
      <c r="A36" s="2"/>
      <c r="B36" s="2" t="s">
        <v>41</v>
      </c>
      <c r="C36" s="2">
        <v>1.05</v>
      </c>
    </row>
    <row r="37" spans="1:7" x14ac:dyDescent="0.2">
      <c r="A37" s="2"/>
    </row>
    <row r="38" spans="1:7" x14ac:dyDescent="0.2">
      <c r="A38" s="2"/>
      <c r="B38" s="2" t="s">
        <v>25</v>
      </c>
    </row>
    <row r="39" spans="1:7" x14ac:dyDescent="0.2">
      <c r="A39" s="2"/>
      <c r="B39" s="2" t="s">
        <v>26</v>
      </c>
      <c r="D39" s="116" t="s">
        <v>103</v>
      </c>
      <c r="E39" s="116"/>
      <c r="F39" s="116"/>
      <c r="G39" s="116"/>
    </row>
    <row r="40" spans="1:7" x14ac:dyDescent="0.2">
      <c r="A40" s="2"/>
      <c r="B40" s="27"/>
      <c r="C40" s="27"/>
      <c r="D40" s="116" t="s">
        <v>104</v>
      </c>
      <c r="E40" s="116"/>
      <c r="F40" s="116"/>
      <c r="G40" s="116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pans="1:11" x14ac:dyDescent="0.2">
      <c r="B449" s="8"/>
      <c r="C449" s="8"/>
      <c r="D449" s="8"/>
      <c r="E449" s="8"/>
      <c r="F449" s="8"/>
      <c r="G449" s="8"/>
    </row>
    <row r="450" spans="1:11" x14ac:dyDescent="0.2">
      <c r="B450" s="8"/>
      <c r="C450" s="8"/>
      <c r="D450" s="8"/>
      <c r="E450" s="8"/>
      <c r="F450" s="8"/>
      <c r="G450" s="8"/>
    </row>
    <row r="451" spans="1:11" x14ac:dyDescent="0.2">
      <c r="B451" s="8"/>
      <c r="C451" s="8"/>
      <c r="D451" s="8"/>
      <c r="E451" s="8"/>
      <c r="F451" s="8"/>
      <c r="G451" s="8"/>
    </row>
    <row r="452" spans="1:11" x14ac:dyDescent="0.2">
      <c r="B452" s="8"/>
      <c r="C452" s="8"/>
      <c r="D452" s="8"/>
      <c r="E452" s="8"/>
      <c r="F452" s="8"/>
      <c r="G452" s="8"/>
    </row>
    <row r="453" spans="1:11" x14ac:dyDescent="0.2">
      <c r="A453" s="19" t="s">
        <v>63</v>
      </c>
      <c r="B453" s="20" t="s">
        <v>65</v>
      </c>
      <c r="C453" s="2">
        <v>1.25</v>
      </c>
      <c r="D453" s="8"/>
      <c r="E453" s="8"/>
      <c r="F453" s="8"/>
      <c r="G453" s="8"/>
    </row>
    <row r="454" spans="1:11" x14ac:dyDescent="0.2">
      <c r="A454" s="8">
        <v>5</v>
      </c>
      <c r="B454" s="20" t="s">
        <v>64</v>
      </c>
      <c r="C454" s="4">
        <v>2</v>
      </c>
      <c r="E454" s="8"/>
      <c r="F454" s="8"/>
      <c r="J454" s="71" t="s">
        <v>106</v>
      </c>
      <c r="K454" s="4">
        <v>0.48</v>
      </c>
    </row>
    <row r="455" spans="1:11" x14ac:dyDescent="0.2">
      <c r="A455" s="8">
        <v>10</v>
      </c>
      <c r="E455" s="8"/>
      <c r="F455" s="8"/>
      <c r="J455" s="2" t="s">
        <v>105</v>
      </c>
      <c r="K455" s="4">
        <v>0.42</v>
      </c>
    </row>
    <row r="456" spans="1:11" x14ac:dyDescent="0.2">
      <c r="A456" s="8">
        <v>15</v>
      </c>
      <c r="G456" s="71"/>
      <c r="H456" s="4"/>
    </row>
    <row r="457" spans="1:11" x14ac:dyDescent="0.2">
      <c r="A457" s="8">
        <v>20</v>
      </c>
      <c r="G457" s="71" t="s">
        <v>106</v>
      </c>
      <c r="H457" s="4">
        <v>0.48</v>
      </c>
    </row>
    <row r="458" spans="1:11" x14ac:dyDescent="0.2">
      <c r="A458" s="8">
        <v>25</v>
      </c>
      <c r="G458" s="2" t="s">
        <v>105</v>
      </c>
      <c r="H458" s="4">
        <v>0.42</v>
      </c>
    </row>
    <row r="459" spans="1:11" x14ac:dyDescent="0.2">
      <c r="A459" s="8">
        <v>30</v>
      </c>
      <c r="G459" s="71" t="s">
        <v>96</v>
      </c>
      <c r="H459" s="72">
        <v>1.2</v>
      </c>
    </row>
    <row r="460" spans="1:11" x14ac:dyDescent="0.2">
      <c r="A460" s="8">
        <v>35</v>
      </c>
      <c r="G460" s="71" t="s">
        <v>97</v>
      </c>
      <c r="H460" s="72">
        <v>1.1499999999999999</v>
      </c>
    </row>
    <row r="461" spans="1:11" x14ac:dyDescent="0.2">
      <c r="A461" s="8">
        <v>40</v>
      </c>
      <c r="G461" s="71" t="s">
        <v>98</v>
      </c>
      <c r="H461" s="72">
        <v>0.7</v>
      </c>
    </row>
    <row r="462" spans="1:11" x14ac:dyDescent="0.2">
      <c r="A462" s="8">
        <v>45</v>
      </c>
      <c r="G462" s="71" t="s">
        <v>90</v>
      </c>
      <c r="H462" s="4">
        <v>0.7</v>
      </c>
    </row>
    <row r="463" spans="1:11" x14ac:dyDescent="0.2">
      <c r="A463" s="8">
        <v>50</v>
      </c>
      <c r="G463" s="71" t="s">
        <v>91</v>
      </c>
      <c r="H463" s="4">
        <v>0.65</v>
      </c>
    </row>
    <row r="464" spans="1:11" x14ac:dyDescent="0.2">
      <c r="A464" s="8">
        <v>55</v>
      </c>
      <c r="G464" s="71" t="s">
        <v>92</v>
      </c>
      <c r="H464" s="72">
        <v>0.63</v>
      </c>
    </row>
    <row r="465" spans="1:8" x14ac:dyDescent="0.2">
      <c r="A465" s="8">
        <v>60</v>
      </c>
      <c r="G465" s="71" t="s">
        <v>93</v>
      </c>
      <c r="H465" s="72">
        <v>0.53</v>
      </c>
    </row>
    <row r="466" spans="1:8" x14ac:dyDescent="0.2">
      <c r="A466" s="8">
        <v>65</v>
      </c>
      <c r="G466" s="2" t="s">
        <v>10</v>
      </c>
      <c r="H466" s="4">
        <v>0.7</v>
      </c>
    </row>
    <row r="467" spans="1:8" x14ac:dyDescent="0.2">
      <c r="A467" s="8">
        <v>70</v>
      </c>
      <c r="G467" s="73" t="s">
        <v>94</v>
      </c>
      <c r="H467" s="72">
        <v>0.5</v>
      </c>
    </row>
    <row r="468" spans="1:8" x14ac:dyDescent="0.2">
      <c r="A468" s="8">
        <v>75</v>
      </c>
      <c r="G468" s="2" t="s">
        <v>12</v>
      </c>
      <c r="H468" s="4">
        <v>0.6</v>
      </c>
    </row>
    <row r="469" spans="1:8" x14ac:dyDescent="0.2">
      <c r="A469" s="8">
        <v>80</v>
      </c>
      <c r="G469" s="2" t="s">
        <v>14</v>
      </c>
      <c r="H469" s="4">
        <v>1</v>
      </c>
    </row>
    <row r="470" spans="1:8" x14ac:dyDescent="0.2">
      <c r="A470" s="8">
        <v>85</v>
      </c>
      <c r="G470" s="2" t="s">
        <v>8</v>
      </c>
      <c r="H470" s="4">
        <v>0.65</v>
      </c>
    </row>
    <row r="471" spans="1:8" x14ac:dyDescent="0.2">
      <c r="A471" s="8">
        <v>90</v>
      </c>
      <c r="G471" s="2" t="s">
        <v>7</v>
      </c>
      <c r="H471" s="4">
        <v>1.1299999999999999</v>
      </c>
    </row>
    <row r="472" spans="1:8" x14ac:dyDescent="0.2">
      <c r="A472" s="8">
        <v>95</v>
      </c>
      <c r="G472" s="71" t="s">
        <v>95</v>
      </c>
      <c r="H472" s="72">
        <v>1.05</v>
      </c>
    </row>
    <row r="473" spans="1:8" x14ac:dyDescent="0.2">
      <c r="A473" s="8">
        <v>100</v>
      </c>
      <c r="G473" s="2" t="s">
        <v>9</v>
      </c>
      <c r="H473" s="4">
        <v>1.2</v>
      </c>
    </row>
    <row r="474" spans="1:8" x14ac:dyDescent="0.2">
      <c r="G474" s="2" t="s">
        <v>11</v>
      </c>
      <c r="H474" s="4">
        <v>0.85</v>
      </c>
    </row>
    <row r="475" spans="1:8" x14ac:dyDescent="0.2">
      <c r="G475"/>
      <c r="H475"/>
    </row>
    <row r="476" spans="1:8" x14ac:dyDescent="0.2">
      <c r="G476"/>
      <c r="H476"/>
    </row>
  </sheetData>
  <sheetProtection selectLockedCells="1"/>
  <sortState xmlns:xlrd2="http://schemas.microsoft.com/office/spreadsheetml/2017/richdata2" ref="B20:C29">
    <sortCondition ref="B20"/>
  </sortState>
  <mergeCells count="2">
    <mergeCell ref="D39:G39"/>
    <mergeCell ref="D40:G40"/>
  </mergeCells>
  <phoneticPr fontId="0" type="noConversion"/>
  <hyperlinks>
    <hyperlink ref="D39" r:id="rId1" xr:uid="{5BF8F5AA-86A9-4D67-9D79-2710E450321B}"/>
    <hyperlink ref="D40" r:id="rId2" xr:uid="{C8E0C4D6-D90F-4B1F-ABF3-66769819A053}"/>
  </hyperlinks>
  <printOptions horizontalCentered="1" verticalCentered="1" gridLines="1"/>
  <pageMargins left="0.5" right="0.5" top="0.5" bottom="0.5" header="0.5" footer="0.5"/>
  <pageSetup scale="97" orientation="landscape" horizontalDpi="300" verticalDpi="300" r:id="rId3"/>
  <headerFooter alignWithMargins="0">
    <oddFooter>&amp;L&amp;A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Start Here</vt:lpstr>
      <vt:lpstr>Temp Map</vt:lpstr>
      <vt:lpstr>Heat Zone Map</vt:lpstr>
      <vt:lpstr>Quonset House</vt:lpstr>
      <vt:lpstr>Gable House</vt:lpstr>
      <vt:lpstr>Arch house</vt:lpstr>
      <vt:lpstr>Form Data</vt:lpstr>
      <vt:lpstr>'Arch house'!Print_Area</vt:lpstr>
      <vt:lpstr>'Form Data'!Print_Area</vt:lpstr>
      <vt:lpstr>'Gable House'!Print_Area</vt:lpstr>
      <vt:lpstr>'Heat Zone Map'!Print_Area</vt:lpstr>
      <vt:lpstr>'Quonset House'!Print_Area</vt:lpstr>
      <vt:lpstr>'Start Here'!Print_Area</vt:lpstr>
      <vt:lpstr>'Temp Map'!Print_Area</vt:lpstr>
    </vt:vector>
  </TitlesOfParts>
  <Company>L. B. White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Sprester</dc:creator>
  <cp:lastModifiedBy>Erin Sprester</cp:lastModifiedBy>
  <cp:lastPrinted>2019-08-14T19:39:10Z</cp:lastPrinted>
  <dcterms:created xsi:type="dcterms:W3CDTF">2002-07-25T15:35:56Z</dcterms:created>
  <dcterms:modified xsi:type="dcterms:W3CDTF">2023-07-20T15:19:13Z</dcterms:modified>
</cp:coreProperties>
</file>